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88398\Desktop\"/>
    </mc:Choice>
  </mc:AlternateContent>
  <bookViews>
    <workbookView xWindow="0" yWindow="0" windowWidth="28800" windowHeight="12435" activeTab="2"/>
  </bookViews>
  <sheets>
    <sheet name="Sumár rozpočtu rok 2022" sheetId="1" r:id="rId1"/>
    <sheet name="Bežné príjmy " sheetId="2" r:id="rId2"/>
    <sheet name="Bežné výdavky" sheetId="3" r:id="rId3"/>
    <sheet name="Kapitálový rozpočet" sheetId="4" r:id="rId4"/>
    <sheet name="Finančné operácie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2" l="1"/>
  <c r="Q433" i="3" l="1"/>
  <c r="N444" i="3" l="1"/>
  <c r="O85" i="3"/>
  <c r="M86" i="3"/>
  <c r="N86" i="3"/>
  <c r="O86" i="3"/>
  <c r="M442" i="3" l="1"/>
  <c r="M412" i="3"/>
  <c r="M482" i="3"/>
  <c r="Q439" i="3"/>
  <c r="M444" i="3" l="1"/>
  <c r="D17" i="1"/>
  <c r="E17" i="1"/>
  <c r="C17" i="1"/>
  <c r="C15" i="1"/>
  <c r="C7" i="1"/>
  <c r="R412" i="3" l="1"/>
  <c r="R172" i="3"/>
  <c r="O542" i="3" l="1"/>
  <c r="O540" i="3"/>
  <c r="O525" i="3"/>
  <c r="O506" i="3"/>
  <c r="O444" i="3"/>
  <c r="N442" i="3"/>
  <c r="O442" i="3"/>
  <c r="P442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4" i="3"/>
  <c r="Q435" i="3"/>
  <c r="Q436" i="3"/>
  <c r="Q437" i="3"/>
  <c r="Q438" i="3"/>
  <c r="Q440" i="3"/>
  <c r="N412" i="3"/>
  <c r="O412" i="3"/>
  <c r="P412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M383" i="3"/>
  <c r="N383" i="3"/>
  <c r="O383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M359" i="3"/>
  <c r="N359" i="3"/>
  <c r="O359" i="3"/>
  <c r="P359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O303" i="3"/>
  <c r="O304" i="3"/>
  <c r="O311" i="3" s="1"/>
  <c r="O305" i="3"/>
  <c r="O306" i="3"/>
  <c r="O307" i="3"/>
  <c r="O308" i="3"/>
  <c r="O309" i="3"/>
  <c r="O310" i="3"/>
  <c r="O274" i="3"/>
  <c r="O275" i="3"/>
  <c r="O276" i="3"/>
  <c r="O277" i="3"/>
  <c r="O278" i="3"/>
  <c r="O279" i="3"/>
  <c r="O280" i="3"/>
  <c r="O281" i="3"/>
  <c r="O282" i="3"/>
  <c r="O283" i="3"/>
  <c r="O284" i="3"/>
  <c r="O288" i="3"/>
  <c r="M268" i="3"/>
  <c r="N268" i="3"/>
  <c r="O268" i="3"/>
  <c r="M247" i="3"/>
  <c r="N247" i="3"/>
  <c r="O247" i="3"/>
  <c r="M239" i="3"/>
  <c r="N239" i="3"/>
  <c r="O239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187" i="3"/>
  <c r="O188" i="3"/>
  <c r="O194" i="3" s="1"/>
  <c r="O189" i="3"/>
  <c r="O190" i="3"/>
  <c r="O191" i="3"/>
  <c r="O192" i="3"/>
  <c r="M194" i="3"/>
  <c r="N194" i="3"/>
  <c r="M172" i="3"/>
  <c r="N172" i="3"/>
  <c r="O172" i="3"/>
  <c r="O181" i="3"/>
  <c r="O180" i="3"/>
  <c r="O125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O193" i="3"/>
  <c r="O200" i="3"/>
  <c r="O201" i="3"/>
  <c r="O202" i="3"/>
  <c r="O206" i="3" s="1"/>
  <c r="O203" i="3"/>
  <c r="O205" i="3"/>
  <c r="O117" i="3"/>
  <c r="O118" i="3"/>
  <c r="O121" i="3"/>
  <c r="O122" i="3"/>
  <c r="O123" i="3"/>
  <c r="O124" i="3"/>
  <c r="O126" i="3"/>
  <c r="O73" i="3"/>
  <c r="O74" i="3"/>
  <c r="O75" i="3"/>
  <c r="O76" i="3"/>
  <c r="O77" i="3"/>
  <c r="O78" i="3"/>
  <c r="O79" i="3"/>
  <c r="O80" i="3"/>
  <c r="O81" i="3"/>
  <c r="O82" i="3"/>
  <c r="O83" i="3"/>
  <c r="O84" i="3"/>
  <c r="O72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92" i="3"/>
  <c r="O93" i="3"/>
  <c r="M109" i="3"/>
  <c r="N109" i="3"/>
  <c r="P86" i="3"/>
  <c r="I65" i="3"/>
  <c r="J65" i="3"/>
  <c r="K65" i="3"/>
  <c r="L65" i="3"/>
  <c r="M65" i="3"/>
  <c r="M552" i="3" s="1"/>
  <c r="N65" i="3"/>
  <c r="P65" i="3"/>
  <c r="Q65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9" i="3"/>
  <c r="O10" i="3"/>
  <c r="O11" i="3"/>
  <c r="O382" i="3"/>
  <c r="J9" i="5"/>
  <c r="J18" i="5"/>
  <c r="E15" i="1"/>
  <c r="D15" i="1"/>
  <c r="Q552" i="3"/>
  <c r="K39" i="2"/>
  <c r="P172" i="3" l="1"/>
  <c r="O109" i="3"/>
  <c r="P444" i="3"/>
  <c r="Q412" i="3"/>
  <c r="O65" i="3"/>
  <c r="K9" i="5"/>
  <c r="L9" i="5"/>
  <c r="F9" i="5"/>
  <c r="G9" i="5"/>
  <c r="H9" i="5"/>
  <c r="I9" i="5"/>
  <c r="F16" i="5" l="1"/>
  <c r="G16" i="5"/>
  <c r="H16" i="5"/>
  <c r="I16" i="5"/>
  <c r="J16" i="5"/>
  <c r="K16" i="5"/>
  <c r="L16" i="5"/>
  <c r="J69" i="4"/>
  <c r="G14" i="1"/>
  <c r="O498" i="3" l="1"/>
  <c r="O499" i="3"/>
  <c r="O500" i="3"/>
  <c r="O501" i="3"/>
  <c r="O502" i="3"/>
  <c r="O503" i="3"/>
  <c r="O504" i="3"/>
  <c r="O505" i="3"/>
  <c r="I506" i="3"/>
  <c r="J506" i="3"/>
  <c r="K506" i="3"/>
  <c r="L506" i="3"/>
  <c r="M506" i="3"/>
  <c r="N506" i="3"/>
  <c r="P506" i="3"/>
  <c r="Q506" i="3"/>
  <c r="L480" i="3" l="1"/>
  <c r="L127" i="3" l="1"/>
  <c r="O119" i="3"/>
  <c r="P383" i="3"/>
  <c r="O517" i="3" l="1"/>
  <c r="M525" i="3"/>
  <c r="H47" i="4" l="1"/>
  <c r="E14" i="1" l="1"/>
  <c r="H18" i="5" l="1"/>
  <c r="E13" i="1"/>
  <c r="K540" i="3" l="1"/>
  <c r="L521" i="3"/>
  <c r="L520" i="3"/>
  <c r="L519" i="3"/>
  <c r="L518" i="3"/>
  <c r="L517" i="3"/>
  <c r="L516" i="3"/>
  <c r="L515" i="3"/>
  <c r="L514" i="3"/>
  <c r="K514" i="3"/>
  <c r="K512" i="3"/>
  <c r="L433" i="3"/>
  <c r="K433" i="3"/>
  <c r="K442" i="3" s="1"/>
  <c r="L404" i="3"/>
  <c r="L412" i="3" s="1"/>
  <c r="K404" i="3"/>
  <c r="K401" i="3"/>
  <c r="L346" i="3"/>
  <c r="O317" i="3"/>
  <c r="O318" i="3"/>
  <c r="K462" i="3"/>
  <c r="K480" i="3"/>
  <c r="K549" i="3"/>
  <c r="K412" i="3" l="1"/>
  <c r="K525" i="3"/>
  <c r="K542" i="3" s="1"/>
  <c r="K482" i="3"/>
  <c r="L383" i="3"/>
  <c r="K383" i="3"/>
  <c r="K444" i="3" s="1"/>
  <c r="K359" i="3"/>
  <c r="K321" i="3"/>
  <c r="K311" i="3"/>
  <c r="K295" i="3"/>
  <c r="K288" i="3"/>
  <c r="L288" i="3"/>
  <c r="K268" i="3"/>
  <c r="K247" i="3"/>
  <c r="L247" i="3"/>
  <c r="K239" i="3"/>
  <c r="K206" i="3"/>
  <c r="K194" i="3"/>
  <c r="J181" i="3"/>
  <c r="K181" i="3"/>
  <c r="L181" i="3"/>
  <c r="K156" i="3"/>
  <c r="K323" i="3" l="1"/>
  <c r="J39" i="2"/>
  <c r="H77" i="4" l="1"/>
  <c r="H69" i="4"/>
  <c r="H61" i="4"/>
  <c r="H55" i="4"/>
  <c r="H37" i="4"/>
  <c r="H30" i="4"/>
  <c r="H22" i="4"/>
  <c r="I22" i="4"/>
  <c r="H14" i="4"/>
  <c r="E9" i="1" s="1"/>
  <c r="O8" i="3"/>
  <c r="O71" i="3"/>
  <c r="O115" i="3"/>
  <c r="O116" i="3"/>
  <c r="O120" i="3"/>
  <c r="O133" i="3"/>
  <c r="O134" i="3"/>
  <c r="O142" i="3"/>
  <c r="O143" i="3"/>
  <c r="O144" i="3"/>
  <c r="O145" i="3"/>
  <c r="O146" i="3"/>
  <c r="O147" i="3"/>
  <c r="O178" i="3"/>
  <c r="O179" i="3"/>
  <c r="O127" i="3" l="1"/>
  <c r="H79" i="4"/>
  <c r="K172" i="3"/>
  <c r="H81" i="4" l="1"/>
  <c r="E10" i="1"/>
  <c r="E11" i="1" s="1"/>
  <c r="K148" i="3"/>
  <c r="K135" i="3"/>
  <c r="K127" i="3"/>
  <c r="K109" i="3"/>
  <c r="K86" i="3"/>
  <c r="K8" i="3"/>
  <c r="K552" i="3" l="1"/>
  <c r="E6" i="1" s="1"/>
  <c r="E20" i="1" s="1"/>
  <c r="F39" i="2"/>
  <c r="E23" i="1" l="1"/>
  <c r="N525" i="3"/>
  <c r="O261" i="3"/>
  <c r="Q525" i="3" l="1"/>
  <c r="Q540" i="3"/>
  <c r="P321" i="3"/>
  <c r="O148" i="3"/>
  <c r="P148" i="3"/>
  <c r="Q148" i="3"/>
  <c r="O523" i="3"/>
  <c r="O534" i="3"/>
  <c r="O532" i="3"/>
  <c r="O533" i="3"/>
  <c r="O535" i="3"/>
  <c r="O536" i="3"/>
  <c r="O537" i="3"/>
  <c r="O531" i="3"/>
  <c r="O538" i="3"/>
  <c r="O539" i="3"/>
  <c r="M39" i="2"/>
  <c r="I5" i="1" s="1"/>
  <c r="L39" i="2"/>
  <c r="H5" i="1" s="1"/>
  <c r="F5" i="1" l="1"/>
  <c r="I39" i="2"/>
  <c r="E5" i="1" s="1"/>
  <c r="E22" i="1" s="1"/>
  <c r="E19" i="1" l="1"/>
  <c r="E24" i="1"/>
  <c r="E7" i="1"/>
  <c r="L442" i="3"/>
  <c r="Q321" i="3"/>
  <c r="N321" i="3"/>
  <c r="M321" i="3"/>
  <c r="I321" i="3"/>
  <c r="J321" i="3"/>
  <c r="L321" i="3"/>
  <c r="J515" i="3"/>
  <c r="N311" i="3"/>
  <c r="P288" i="3"/>
  <c r="N288" i="3" l="1"/>
  <c r="O287" i="3"/>
  <c r="O285" i="3"/>
  <c r="O286" i="3"/>
  <c r="O253" i="3" l="1"/>
  <c r="P540" i="3" l="1"/>
  <c r="R359" i="3"/>
  <c r="R442" i="3"/>
  <c r="S442" i="3"/>
  <c r="Q441" i="3"/>
  <c r="Q442" i="3" s="1"/>
  <c r="Q444" i="3" s="1"/>
  <c r="S412" i="3"/>
  <c r="P552" i="3"/>
  <c r="Q359" i="3"/>
  <c r="O552" i="3" l="1"/>
  <c r="J522" i="3"/>
  <c r="J521" i="3"/>
  <c r="J520" i="3"/>
  <c r="J519" i="3"/>
  <c r="J518" i="3"/>
  <c r="J517" i="3"/>
  <c r="J516" i="3"/>
  <c r="J512" i="3"/>
  <c r="J86" i="3"/>
  <c r="J148" i="3"/>
  <c r="J194" i="3"/>
  <c r="J206" i="3"/>
  <c r="J239" i="3"/>
  <c r="J268" i="3"/>
  <c r="J288" i="3"/>
  <c r="J311" i="3"/>
  <c r="J383" i="3"/>
  <c r="J412" i="3"/>
  <c r="J462" i="3"/>
  <c r="J480" i="3"/>
  <c r="J295" i="3"/>
  <c r="J154" i="3"/>
  <c r="J172" i="3" s="1"/>
  <c r="J92" i="3"/>
  <c r="J109" i="3" s="1"/>
  <c r="J57" i="3"/>
  <c r="J8" i="3"/>
  <c r="J323" i="3" l="1"/>
  <c r="J430" i="3"/>
  <c r="J442" i="3" s="1"/>
  <c r="J444" i="3" s="1"/>
  <c r="J346" i="3"/>
  <c r="J345" i="3"/>
  <c r="J247" i="3"/>
  <c r="J127" i="3"/>
  <c r="J135" i="3"/>
  <c r="J359" i="3" l="1"/>
  <c r="O490" i="3"/>
  <c r="O491" i="3"/>
  <c r="O488" i="3"/>
  <c r="O492" i="3"/>
  <c r="O493" i="3"/>
  <c r="O494" i="3"/>
  <c r="O495" i="3"/>
  <c r="O496" i="3"/>
  <c r="O497" i="3"/>
  <c r="I359" i="3"/>
  <c r="L148" i="3" l="1"/>
  <c r="I148" i="3"/>
  <c r="H39" i="2"/>
  <c r="D5" i="1" s="1"/>
  <c r="G39" i="2"/>
  <c r="O135" i="3" l="1"/>
  <c r="D14" i="1"/>
  <c r="F14" i="1"/>
  <c r="H14" i="1"/>
  <c r="I14" i="1"/>
  <c r="C14" i="1"/>
  <c r="D13" i="1"/>
  <c r="F13" i="1"/>
  <c r="G13" i="1"/>
  <c r="G15" i="1" s="1"/>
  <c r="I13" i="1"/>
  <c r="C13" i="1"/>
  <c r="G47" i="4"/>
  <c r="I47" i="4"/>
  <c r="J47" i="4"/>
  <c r="K47" i="4"/>
  <c r="L47" i="4"/>
  <c r="F47" i="4"/>
  <c r="G77" i="4"/>
  <c r="I77" i="4"/>
  <c r="J77" i="4"/>
  <c r="K77" i="4"/>
  <c r="L77" i="4"/>
  <c r="F77" i="4"/>
  <c r="G69" i="4"/>
  <c r="I69" i="4"/>
  <c r="K69" i="4"/>
  <c r="L69" i="4"/>
  <c r="F69" i="4"/>
  <c r="G61" i="4"/>
  <c r="I61" i="4"/>
  <c r="J61" i="4"/>
  <c r="K61" i="4"/>
  <c r="L61" i="4"/>
  <c r="F61" i="4"/>
  <c r="G55" i="4"/>
  <c r="I55" i="4"/>
  <c r="J55" i="4"/>
  <c r="K55" i="4"/>
  <c r="L55" i="4"/>
  <c r="F55" i="4"/>
  <c r="G37" i="4"/>
  <c r="I37" i="4"/>
  <c r="J37" i="4"/>
  <c r="K37" i="4"/>
  <c r="L37" i="4"/>
  <c r="F37" i="4"/>
  <c r="G30" i="4"/>
  <c r="I30" i="4"/>
  <c r="J30" i="4"/>
  <c r="K30" i="4"/>
  <c r="L30" i="4"/>
  <c r="F30" i="4"/>
  <c r="G22" i="4"/>
  <c r="J22" i="4"/>
  <c r="K22" i="4"/>
  <c r="L22" i="4"/>
  <c r="F22" i="4"/>
  <c r="J14" i="4"/>
  <c r="G9" i="1" s="1"/>
  <c r="G14" i="4"/>
  <c r="D9" i="1" s="1"/>
  <c r="D22" i="1" s="1"/>
  <c r="I14" i="4"/>
  <c r="F9" i="1" s="1"/>
  <c r="K14" i="4"/>
  <c r="H9" i="1" s="1"/>
  <c r="L14" i="4"/>
  <c r="I9" i="1" s="1"/>
  <c r="F14" i="4"/>
  <c r="C9" i="1" s="1"/>
  <c r="C19" i="1" s="1"/>
  <c r="J79" i="4" l="1"/>
  <c r="G10" i="1" s="1"/>
  <c r="G11" i="1" s="1"/>
  <c r="F15" i="1"/>
  <c r="I19" i="1"/>
  <c r="D19" i="1"/>
  <c r="F19" i="1"/>
  <c r="K18" i="5"/>
  <c r="C22" i="1"/>
  <c r="L79" i="4"/>
  <c r="I10" i="1" s="1"/>
  <c r="K79" i="4"/>
  <c r="H10" i="1" s="1"/>
  <c r="I79" i="4"/>
  <c r="F10" i="1" s="1"/>
  <c r="G79" i="4"/>
  <c r="D10" i="1" s="1"/>
  <c r="F79" i="4"/>
  <c r="C10" i="1" s="1"/>
  <c r="G18" i="5"/>
  <c r="H13" i="1"/>
  <c r="H19" i="1" s="1"/>
  <c r="L18" i="5"/>
  <c r="I18" i="5"/>
  <c r="F18" i="5"/>
  <c r="G5" i="1"/>
  <c r="G19" i="1" s="1"/>
  <c r="Q239" i="3"/>
  <c r="Q480" i="3"/>
  <c r="J549" i="3"/>
  <c r="L549" i="3"/>
  <c r="M549" i="3"/>
  <c r="N549" i="3"/>
  <c r="P549" i="3"/>
  <c r="Q549" i="3"/>
  <c r="I549" i="3"/>
  <c r="O548" i="3"/>
  <c r="O549" i="3" s="1"/>
  <c r="I540" i="3"/>
  <c r="J540" i="3"/>
  <c r="L540" i="3"/>
  <c r="M540" i="3"/>
  <c r="N540" i="3"/>
  <c r="J525" i="3"/>
  <c r="L525" i="3"/>
  <c r="N552" i="3"/>
  <c r="P525" i="3"/>
  <c r="I525" i="3"/>
  <c r="O513" i="3"/>
  <c r="O514" i="3"/>
  <c r="O515" i="3"/>
  <c r="O516" i="3"/>
  <c r="O518" i="3"/>
  <c r="O519" i="3"/>
  <c r="O520" i="3"/>
  <c r="O521" i="3"/>
  <c r="O522" i="3"/>
  <c r="O524" i="3"/>
  <c r="O512" i="3"/>
  <c r="O471" i="3"/>
  <c r="O479" i="3"/>
  <c r="O469" i="3"/>
  <c r="O470" i="3"/>
  <c r="O472" i="3"/>
  <c r="O473" i="3"/>
  <c r="O474" i="3"/>
  <c r="O475" i="3"/>
  <c r="O476" i="3"/>
  <c r="O477" i="3"/>
  <c r="O478" i="3"/>
  <c r="P480" i="3"/>
  <c r="N480" i="3"/>
  <c r="M480" i="3"/>
  <c r="I480" i="3"/>
  <c r="O468" i="3"/>
  <c r="O451" i="3"/>
  <c r="O452" i="3"/>
  <c r="O453" i="3"/>
  <c r="O454" i="3"/>
  <c r="O455" i="3"/>
  <c r="O456" i="3"/>
  <c r="O457" i="3"/>
  <c r="O458" i="3"/>
  <c r="O459" i="3"/>
  <c r="O460" i="3"/>
  <c r="O461" i="3"/>
  <c r="O450" i="3"/>
  <c r="L462" i="3"/>
  <c r="M462" i="3"/>
  <c r="N462" i="3"/>
  <c r="P462" i="3"/>
  <c r="Q462" i="3"/>
  <c r="I462" i="3"/>
  <c r="I442" i="3"/>
  <c r="I412" i="3"/>
  <c r="Q383" i="3"/>
  <c r="S444" i="3" s="1"/>
  <c r="I383" i="3"/>
  <c r="L359" i="3"/>
  <c r="O319" i="3"/>
  <c r="O320" i="3"/>
  <c r="O302" i="3"/>
  <c r="L311" i="3"/>
  <c r="M311" i="3"/>
  <c r="P311" i="3"/>
  <c r="Q311" i="3"/>
  <c r="I311" i="3"/>
  <c r="O301" i="3"/>
  <c r="O294" i="3"/>
  <c r="O295" i="3" s="1"/>
  <c r="L295" i="3"/>
  <c r="M295" i="3"/>
  <c r="N295" i="3"/>
  <c r="P295" i="3"/>
  <c r="Q295" i="3"/>
  <c r="I295" i="3"/>
  <c r="M288" i="3"/>
  <c r="Q288" i="3"/>
  <c r="I288" i="3"/>
  <c r="O254" i="3"/>
  <c r="O255" i="3"/>
  <c r="O256" i="3"/>
  <c r="O257" i="3"/>
  <c r="O258" i="3"/>
  <c r="O259" i="3"/>
  <c r="O260" i="3"/>
  <c r="O262" i="3"/>
  <c r="O263" i="3"/>
  <c r="O264" i="3"/>
  <c r="O265" i="3"/>
  <c r="O266" i="3"/>
  <c r="O267" i="3"/>
  <c r="L268" i="3"/>
  <c r="P268" i="3"/>
  <c r="Q268" i="3"/>
  <c r="I268" i="3"/>
  <c r="O246" i="3"/>
  <c r="O245" i="3"/>
  <c r="P247" i="3"/>
  <c r="Q247" i="3"/>
  <c r="I247" i="3"/>
  <c r="L239" i="3"/>
  <c r="P239" i="3"/>
  <c r="I239" i="3"/>
  <c r="O204" i="3"/>
  <c r="L206" i="3"/>
  <c r="M206" i="3"/>
  <c r="N206" i="3"/>
  <c r="P206" i="3"/>
  <c r="Q206" i="3"/>
  <c r="I206" i="3"/>
  <c r="R552" i="3" l="1"/>
  <c r="C11" i="1"/>
  <c r="C20" i="1"/>
  <c r="I444" i="3"/>
  <c r="O321" i="3"/>
  <c r="O462" i="3"/>
  <c r="R444" i="3"/>
  <c r="N482" i="3"/>
  <c r="O480" i="3"/>
  <c r="J552" i="3"/>
  <c r="D6" i="1" s="1"/>
  <c r="D20" i="1" s="1"/>
  <c r="P542" i="3"/>
  <c r="G81" i="4"/>
  <c r="J81" i="4"/>
  <c r="L81" i="4"/>
  <c r="K81" i="4"/>
  <c r="I81" i="4"/>
  <c r="F81" i="4"/>
  <c r="J542" i="3"/>
  <c r="L444" i="3"/>
  <c r="J482" i="3"/>
  <c r="N542" i="3"/>
  <c r="I542" i="3"/>
  <c r="M542" i="3"/>
  <c r="Q542" i="3"/>
  <c r="L542" i="3"/>
  <c r="Q482" i="3"/>
  <c r="I482" i="3"/>
  <c r="P482" i="3"/>
  <c r="L482" i="3"/>
  <c r="L323" i="3"/>
  <c r="N323" i="3"/>
  <c r="P323" i="3"/>
  <c r="Q323" i="3"/>
  <c r="I323" i="3"/>
  <c r="M323" i="3"/>
  <c r="L194" i="3"/>
  <c r="P194" i="3"/>
  <c r="Q194" i="3"/>
  <c r="I194" i="3"/>
  <c r="M181" i="3"/>
  <c r="N181" i="3"/>
  <c r="P181" i="3"/>
  <c r="Q181" i="3"/>
  <c r="I181" i="3"/>
  <c r="Q172" i="3"/>
  <c r="I172" i="3"/>
  <c r="L172" i="3"/>
  <c r="M148" i="3"/>
  <c r="N148" i="3"/>
  <c r="M135" i="3"/>
  <c r="N135" i="3"/>
  <c r="P135" i="3"/>
  <c r="Q135" i="3"/>
  <c r="L135" i="3"/>
  <c r="I135" i="3"/>
  <c r="M127" i="3"/>
  <c r="N127" i="3"/>
  <c r="P127" i="3"/>
  <c r="Q127" i="3"/>
  <c r="I127" i="3"/>
  <c r="L109" i="3"/>
  <c r="P109" i="3"/>
  <c r="Q109" i="3"/>
  <c r="I109" i="3"/>
  <c r="L86" i="3"/>
  <c r="Q86" i="3"/>
  <c r="I86" i="3"/>
  <c r="U552" i="3" l="1"/>
  <c r="I6" i="1" s="1"/>
  <c r="I20" i="1" s="1"/>
  <c r="O482" i="3"/>
  <c r="I552" i="3"/>
  <c r="T552" i="3"/>
  <c r="H6" i="1" s="1"/>
  <c r="L552" i="3"/>
  <c r="F6" i="1" s="1"/>
  <c r="F7" i="1" s="1"/>
  <c r="F17" i="1" s="1"/>
  <c r="O323" i="3"/>
  <c r="D23" i="1"/>
  <c r="C23" i="1"/>
  <c r="F22" i="1"/>
  <c r="G22" i="1"/>
  <c r="H22" i="1"/>
  <c r="I22" i="1"/>
  <c r="H15" i="1"/>
  <c r="I15" i="1"/>
  <c r="D11" i="1"/>
  <c r="F11" i="1"/>
  <c r="H11" i="1"/>
  <c r="I11" i="1"/>
  <c r="D7" i="1"/>
  <c r="H20" i="1" l="1"/>
  <c r="H7" i="1"/>
  <c r="H17" i="1" s="1"/>
  <c r="H23" i="1"/>
  <c r="H24" i="1" s="1"/>
  <c r="F20" i="1"/>
  <c r="I7" i="1"/>
  <c r="I17" i="1" s="1"/>
  <c r="I23" i="1"/>
  <c r="I24" i="1" s="1"/>
  <c r="F23" i="1"/>
  <c r="F24" i="1" s="1"/>
  <c r="S552" i="3"/>
  <c r="D24" i="1"/>
  <c r="C24" i="1"/>
  <c r="G6" i="1" l="1"/>
  <c r="G7" i="1" s="1"/>
  <c r="G17" i="1" s="1"/>
  <c r="G20" i="1" l="1"/>
  <c r="G23" i="1"/>
  <c r="G24" i="1" s="1"/>
</calcChain>
</file>

<file path=xl/sharedStrings.xml><?xml version="1.0" encoding="utf-8"?>
<sst xmlns="http://schemas.openxmlformats.org/spreadsheetml/2006/main" count="2299" uniqueCount="405">
  <si>
    <t>Návrh na rok 2024</t>
  </si>
  <si>
    <t>Rozpočet na roky 2022 - 2024</t>
  </si>
  <si>
    <t xml:space="preserve">Prehľad príjmov a výdavkov rozpočtu </t>
  </si>
  <si>
    <t xml:space="preserve">Bežné príijmy </t>
  </si>
  <si>
    <t>Bežné výdavky</t>
  </si>
  <si>
    <t xml:space="preserve">Saldo bežného rozpočtu </t>
  </si>
  <si>
    <t>Kapitálové príjmy</t>
  </si>
  <si>
    <t>Kapitálové výdavky</t>
  </si>
  <si>
    <t xml:space="preserve">Saldo kapitálového rozpočtu </t>
  </si>
  <si>
    <t>Príjmové finančné operácie</t>
  </si>
  <si>
    <t xml:space="preserve">Výdavkové finančné operácie </t>
  </si>
  <si>
    <t>Saldo finančných operácií</t>
  </si>
  <si>
    <t xml:space="preserve">Saldo </t>
  </si>
  <si>
    <t>Príjmy celkom</t>
  </si>
  <si>
    <t xml:space="preserve">Výdavky celkom </t>
  </si>
  <si>
    <t>Bežné a kapitálové príjmy</t>
  </si>
  <si>
    <t>Bežné a kapitálové výdavky</t>
  </si>
  <si>
    <t>Rozdiel (bežné a kapitalové)</t>
  </si>
  <si>
    <t>Návrh na rok 2023</t>
  </si>
  <si>
    <t xml:space="preserve">Bežný rozpočet - príjmová časť </t>
  </si>
  <si>
    <t>Skutočnosť    2020</t>
  </si>
  <si>
    <t>Skutočnosť    2019</t>
  </si>
  <si>
    <t>Názov</t>
  </si>
  <si>
    <t>Zdroj</t>
  </si>
  <si>
    <t>Položka</t>
  </si>
  <si>
    <t>Podpoložka</t>
  </si>
  <si>
    <t>72f</t>
  </si>
  <si>
    <t>1AC2</t>
  </si>
  <si>
    <t>11T2</t>
  </si>
  <si>
    <t>003</t>
  </si>
  <si>
    <t>001</t>
  </si>
  <si>
    <t>002</t>
  </si>
  <si>
    <t>012</t>
  </si>
  <si>
    <t>013</t>
  </si>
  <si>
    <t>004</t>
  </si>
  <si>
    <t>006</t>
  </si>
  <si>
    <t>008</t>
  </si>
  <si>
    <t>017</t>
  </si>
  <si>
    <t>027</t>
  </si>
  <si>
    <t>011</t>
  </si>
  <si>
    <t>Bežné príjmy  SPOLU</t>
  </si>
  <si>
    <t>Výnos dane poukázaný úzenej samopspráve</t>
  </si>
  <si>
    <t>Daň z pozemkov</t>
  </si>
  <si>
    <t>Daň zo stavieb</t>
  </si>
  <si>
    <t>Daň za psa</t>
  </si>
  <si>
    <t xml:space="preserve">Daň za užívanie verejného priestranstva </t>
  </si>
  <si>
    <t>Daň za komunálne odpady a drobný stavebný odpad</t>
  </si>
  <si>
    <t>Príjmy z prenajatých pozemkov</t>
  </si>
  <si>
    <t xml:space="preserve">Príjmy z prenajatých budov, priestorov a objektov </t>
  </si>
  <si>
    <t>Ostatné administratívne poplatky</t>
  </si>
  <si>
    <t>Pokuty, penále a iné sankcie za porušenie predpisov</t>
  </si>
  <si>
    <t>Poplatky a platby za predaj výrobkov</t>
  </si>
  <si>
    <t>Poplatky za školy a školské zariadenia</t>
  </si>
  <si>
    <t>Poplatky a platby za stravné</t>
  </si>
  <si>
    <t xml:space="preserve">Poplatky a platby za stravné </t>
  </si>
  <si>
    <t>Úroky z tuzemských účtov</t>
  </si>
  <si>
    <t>Náhrad z poistného plnenia</t>
  </si>
  <si>
    <t>Príjmy z odvodov z hazardných hier</t>
  </si>
  <si>
    <t>Príjmy z dobropisov</t>
  </si>
  <si>
    <t>Príjmy z vratiek</t>
  </si>
  <si>
    <t>Iné</t>
  </si>
  <si>
    <t xml:space="preserve">Tuzemské bežné transfery VS zo štátneho rozpočtu </t>
  </si>
  <si>
    <t>Dotácia na stravu</t>
  </si>
  <si>
    <t xml:space="preserve">Tuzemské bežné transfery od ostatných subjektov </t>
  </si>
  <si>
    <t>Oddiel</t>
  </si>
  <si>
    <t>Skupina</t>
  </si>
  <si>
    <t>Trieda</t>
  </si>
  <si>
    <t>Podtrieda</t>
  </si>
  <si>
    <t>Skutočnosť 2020</t>
  </si>
  <si>
    <t xml:space="preserve">Bežný rozpočet - výdavková časť </t>
  </si>
  <si>
    <t>a</t>
  </si>
  <si>
    <t>b</t>
  </si>
  <si>
    <t>c</t>
  </si>
  <si>
    <t>d</t>
  </si>
  <si>
    <t>e</t>
  </si>
  <si>
    <t>f</t>
  </si>
  <si>
    <t>g</t>
  </si>
  <si>
    <t>01</t>
  </si>
  <si>
    <t xml:space="preserve">Tarifný plat </t>
  </si>
  <si>
    <t xml:space="preserve">Odmeny </t>
  </si>
  <si>
    <t xml:space="preserve">Postné do Všeobecnej zdravotnej poisťovne </t>
  </si>
  <si>
    <t xml:space="preserve">Cestovné náhrady - tuzemské </t>
  </si>
  <si>
    <t>Cestovné náhrady - zahraničné</t>
  </si>
  <si>
    <t>Energie</t>
  </si>
  <si>
    <t>Vodné a stočné</t>
  </si>
  <si>
    <t>Poštové služby</t>
  </si>
  <si>
    <t xml:space="preserve">Telekomunikčné služby </t>
  </si>
  <si>
    <t>Interiérové vybavenie</t>
  </si>
  <si>
    <t>Výpočtová technika</t>
  </si>
  <si>
    <t>Prevádzkové stroje, prístroje, zariadenia, technika a náradie</t>
  </si>
  <si>
    <t>Všeobecný materiál</t>
  </si>
  <si>
    <t>Špeciány materiál</t>
  </si>
  <si>
    <t>Knihy, časopisy, noviny, učebnice, učebné a kompenzačné pomôcky</t>
  </si>
  <si>
    <t>Pracovné odevy, obuv a pracovné pomôcky</t>
  </si>
  <si>
    <t>Potraviny</t>
  </si>
  <si>
    <t>Softvér</t>
  </si>
  <si>
    <t xml:space="preserve">Reprezentačné </t>
  </si>
  <si>
    <t>Palivo, mazivá, oleje, špeciálne kapaliny</t>
  </si>
  <si>
    <t xml:space="preserve">Servis, údržba, opray a výdavky s tým spojené </t>
  </si>
  <si>
    <t>Poistné</t>
  </si>
  <si>
    <t>Karty, známky, poplatky</t>
  </si>
  <si>
    <t>Rutinná a štandardná údržba výpočtovej techniky</t>
  </si>
  <si>
    <t>Rutinná a štandardná údržba prevádzkových strojov, prístrojov, zariadení, techniky a náradia</t>
  </si>
  <si>
    <t>Rutinná a štandardná údržba budov, objektov a ich časti</t>
  </si>
  <si>
    <t xml:space="preserve">Rutinná a štandardná údržba softwéru </t>
  </si>
  <si>
    <t xml:space="preserve">Nájomné za nájom prevádzkových strojov, prístrojov, zariadení, techniky a náradia </t>
  </si>
  <si>
    <t>Spolu</t>
  </si>
  <si>
    <t>005</t>
  </si>
  <si>
    <t>007</t>
  </si>
  <si>
    <t>Školenia, kurzy a semináre</t>
  </si>
  <si>
    <t>Propagácia, reklama a inzercia</t>
  </si>
  <si>
    <t>Všeobecné služby</t>
  </si>
  <si>
    <t>Špeciálne služby</t>
  </si>
  <si>
    <t>Cestovné odvody</t>
  </si>
  <si>
    <t>Poplatky a odvody</t>
  </si>
  <si>
    <t>Stravovanie</t>
  </si>
  <si>
    <t xml:space="preserve">Prídel do sociálneho fondu </t>
  </si>
  <si>
    <t>Pokuty a penále</t>
  </si>
  <si>
    <t>Dane</t>
  </si>
  <si>
    <t>Reprezentačné výdavky</t>
  </si>
  <si>
    <t>Služby v oblasti informačných technológií</t>
  </si>
  <si>
    <t>Transfery na členské príspevky</t>
  </si>
  <si>
    <t xml:space="preserve">Jednotlivci </t>
  </si>
  <si>
    <t>01.1.1 SPOLU</t>
  </si>
  <si>
    <t>009</t>
  </si>
  <si>
    <t>010</t>
  </si>
  <si>
    <t>016</t>
  </si>
  <si>
    <t>014</t>
  </si>
  <si>
    <t>040</t>
  </si>
  <si>
    <t>036</t>
  </si>
  <si>
    <t>035</t>
  </si>
  <si>
    <t>031</t>
  </si>
  <si>
    <t>01.1.1 Výkonné a zákonodárne orgány</t>
  </si>
  <si>
    <t>01.1.2 Finančné a rozpočtové záležitosti</t>
  </si>
  <si>
    <t>015</t>
  </si>
  <si>
    <t>026</t>
  </si>
  <si>
    <t xml:space="preserve">Poistné </t>
  </si>
  <si>
    <t>Odmeny a príspevky</t>
  </si>
  <si>
    <t>Manipulačné poplatky</t>
  </si>
  <si>
    <t>01.3.3 Iné všeobecné služby -MATRIKA</t>
  </si>
  <si>
    <t>Tarifný plat</t>
  </si>
  <si>
    <t>Odmeny</t>
  </si>
  <si>
    <t>Poistné do Všeobecnej zdravotnej poisťovni</t>
  </si>
  <si>
    <t>Pracovná obuv, odev</t>
  </si>
  <si>
    <t xml:space="preserve">Transfery na členské príspevky </t>
  </si>
  <si>
    <t>01.3.3 SPOLU</t>
  </si>
  <si>
    <t>01.1.2 SPOLU</t>
  </si>
  <si>
    <t xml:space="preserve">01.6.0 Všeobecné verejné služby inde neklasifikované - voľby, referendá </t>
  </si>
  <si>
    <t>01.6.0 SPOLU</t>
  </si>
  <si>
    <t>Poistné a príspevok do poisťovní</t>
  </si>
  <si>
    <t>Reprezentačné</t>
  </si>
  <si>
    <t>Odmeny pracovníkov mimopracovného pomeru</t>
  </si>
  <si>
    <t>3</t>
  </si>
  <si>
    <t>01.7.0 Transakcie vereného dlhu</t>
  </si>
  <si>
    <t xml:space="preserve">Splácanie úverov tuzemsku banke a pobočke zahraničnej banke </t>
  </si>
  <si>
    <t>Splácanie úrokov subjektu verejnej správy</t>
  </si>
  <si>
    <t>01.7.0 SPOLU</t>
  </si>
  <si>
    <t>02</t>
  </si>
  <si>
    <t>02.2.0 Civilná obrana</t>
  </si>
  <si>
    <t>Špeciálny materiál</t>
  </si>
  <si>
    <t>Všeoecné služby</t>
  </si>
  <si>
    <t>Cestovné náhrady</t>
  </si>
  <si>
    <t xml:space="preserve">Odmeny pracovníkov mimopracovného pomeru </t>
  </si>
  <si>
    <t>02.2.0 SPOLU</t>
  </si>
  <si>
    <t>04</t>
  </si>
  <si>
    <t>Telekomunikačné služby</t>
  </si>
  <si>
    <t>04.4.3 SPOLU</t>
  </si>
  <si>
    <t>04.4.3 Výstavba</t>
  </si>
  <si>
    <t>04.5.1 Cestná doprava</t>
  </si>
  <si>
    <t>04.5.1 SPOLU</t>
  </si>
  <si>
    <t>Rutinná a štandardná údržba budov, objektov a ich častí</t>
  </si>
  <si>
    <t xml:space="preserve">05.1.0 Nakladanie s odpadom </t>
  </si>
  <si>
    <t>05</t>
  </si>
  <si>
    <t>Energie - dom smútku</t>
  </si>
  <si>
    <t>Vodné a stočné - cintorín</t>
  </si>
  <si>
    <t>Palivá ako zdroj energie</t>
  </si>
  <si>
    <t>Palivo, mazivá, oleje, špeciálne kvapaliny</t>
  </si>
  <si>
    <t>05.1.0 SPOLU</t>
  </si>
  <si>
    <t xml:space="preserve">06.1.0 Rozvoj bývania </t>
  </si>
  <si>
    <t>06</t>
  </si>
  <si>
    <t>06.1.0 SPOLU</t>
  </si>
  <si>
    <t xml:space="preserve">Vodné a stočné </t>
  </si>
  <si>
    <t xml:space="preserve">Rutinná a štandardná údžba prevádzkových strojov, prístrojov, zariadení, techniky a náradia </t>
  </si>
  <si>
    <t>Rutinná a štandardná údržba budov</t>
  </si>
  <si>
    <t>06.2.0 Rozvoj obcí</t>
  </si>
  <si>
    <t>077</t>
  </si>
  <si>
    <t>Odmeny pracovníkom mimopracovného pomeru</t>
  </si>
  <si>
    <t xml:space="preserve">Rutinná a štandardná údržba prevádzkových strojov, prístrojov, zariadení, techniky a náradia </t>
  </si>
  <si>
    <t>Pracovné odevy, obuv apracovné pomôcky</t>
  </si>
  <si>
    <t>06.2.0 SPOLU</t>
  </si>
  <si>
    <t>06.4.0 Verejné osvetlenie</t>
  </si>
  <si>
    <t>06.4.0 SPOLU</t>
  </si>
  <si>
    <t>08.1.0 Rekreačné a športové služby</t>
  </si>
  <si>
    <t>08</t>
  </si>
  <si>
    <t>08.1.0 SPOLU</t>
  </si>
  <si>
    <t>Odmeny pracovníkov mimo pracovného pomeru</t>
  </si>
  <si>
    <t>Transfery</t>
  </si>
  <si>
    <t>08.2.0 Kultúrne služby</t>
  </si>
  <si>
    <t>Rutinná a štandardná údržba budov, objektova ich častí</t>
  </si>
  <si>
    <t>Konkurzi a súťaže</t>
  </si>
  <si>
    <t>08.2.0 SPOLU</t>
  </si>
  <si>
    <t>08.4.0 Náboženské a iné spoločenské služby</t>
  </si>
  <si>
    <t xml:space="preserve">Transfery občianskemu združeniu, nadácii a neinvestičnému fondu </t>
  </si>
  <si>
    <t>08.4.0 SPOLU</t>
  </si>
  <si>
    <t>08.6.0 Rekreácia, kultúra a náboženstvo inde neklasifikované - Knižnica</t>
  </si>
  <si>
    <t>08.6.0 SPOLU</t>
  </si>
  <si>
    <t>Knihy, noviny, časopisy, učebnice, učebné pomôcky a ich časti</t>
  </si>
  <si>
    <t xml:space="preserve">Rutinná a štandardná údržba budov, objektov a ich častí </t>
  </si>
  <si>
    <t xml:space="preserve">Odmena pracovníkov mimopracovného pomeru </t>
  </si>
  <si>
    <t xml:space="preserve">08.6.0 ZPOZ </t>
  </si>
  <si>
    <t xml:space="preserve">Všeobecný materiál </t>
  </si>
  <si>
    <t>SPOLU Knižnica a ZPOZ</t>
  </si>
  <si>
    <t xml:space="preserve">09.1.1.1 Predprimárne vzdelávanie s bežnou starostlivosťou - Materská škola  </t>
  </si>
  <si>
    <t>09.1.1.1 SPOLU</t>
  </si>
  <si>
    <t>09</t>
  </si>
  <si>
    <t>Poistné do všeobecnej zdravotnej poisťovni</t>
  </si>
  <si>
    <t>Knihy, časopisy, učebnice, učebné pomôcky a kompenzačné pomôcky</t>
  </si>
  <si>
    <t>Rutinná a štandardná údržba špecialných strojov, prístrojov, zariadení, techniky a náradia</t>
  </si>
  <si>
    <t>Potraviny - dotácia</t>
  </si>
  <si>
    <t xml:space="preserve">09.1.2.1 Predprimárne vzdelávanie s bežnou starostlivosťou - Základná škola </t>
  </si>
  <si>
    <t>09.1.2.1 SPOLU</t>
  </si>
  <si>
    <t>Transfery na nemocenské dávky</t>
  </si>
  <si>
    <t xml:space="preserve">Odmeny pracovníkov mimo pracovného pomeru </t>
  </si>
  <si>
    <t>Knihy, časopisy, učebnice, učebné pomôcky, kompenzačné pomôcky</t>
  </si>
  <si>
    <t>01.1.2.1 SPOLU</t>
  </si>
  <si>
    <t>Kihy, časopisy, noviny, učebnice, učebné pomôcky, kompenzačné pomôcky</t>
  </si>
  <si>
    <t>Rutinná a štandardná údržba softvéru</t>
  </si>
  <si>
    <t>09.1.2.1 Primárne vzdelávanie s bežnou starostlivosťou - Základná škola s vyučujúcim jazykom slovenským</t>
  </si>
  <si>
    <t>09.1.2.1 Primárne vzdelávanie s bežnou starostlivosťou - Základná škola s vyučujúcim jazykom maďarským</t>
  </si>
  <si>
    <t>SPOLU ZŠ s jazykom slovenským a ZŠ s jazykom maďarským</t>
  </si>
  <si>
    <t xml:space="preserve">09.5.0 Vzdelávanie nedefinované podľa úrovne - Školský klub s vyučovacím jazykom slovenským </t>
  </si>
  <si>
    <t>SPOLU 09.5.0 SPOLU</t>
  </si>
  <si>
    <t>09.5.0 Vzdelávanie nedefinované podľa úrovne - Školský klub s vyučovacím jazykom maďarským</t>
  </si>
  <si>
    <t>09.6.0.1 Vedľajšie služby poskytované v rámci predprimárneho vzdelávania - Školská jedáleň</t>
  </si>
  <si>
    <t xml:space="preserve">Rutinná a štandardná údržba špeciálnych strojov, prístrojov, zariadení, techniky a náradia </t>
  </si>
  <si>
    <t xml:space="preserve">Rutinná  aštandardná údržba softvéru </t>
  </si>
  <si>
    <t>09.6.0.1 SPOLU</t>
  </si>
  <si>
    <t>10.2.0 Staroba</t>
  </si>
  <si>
    <t>10</t>
  </si>
  <si>
    <t>10.2.0 SPOLU</t>
  </si>
  <si>
    <t>SPOLU Staroba a Klub dôchodcov</t>
  </si>
  <si>
    <t>Konkurzy a súťaže</t>
  </si>
  <si>
    <t xml:space="preserve">Dávky hmotnej núdzi a príspevk k dávke </t>
  </si>
  <si>
    <t>Rrutinná údržba budov, objektov a ich častí</t>
  </si>
  <si>
    <t>10.2.0 Klub dôchodcov</t>
  </si>
  <si>
    <t xml:space="preserve">10.7.0 Dávky v hmotnej núdzi sociálne znevýhodnené prostredie </t>
  </si>
  <si>
    <t>Knihy, časopisy, učebnice, učebné pomôcky</t>
  </si>
  <si>
    <t>111</t>
  </si>
  <si>
    <t>10.7.0 SPOLU</t>
  </si>
  <si>
    <t>C E L K O M</t>
  </si>
  <si>
    <t xml:space="preserve">Odmeny zamestnancom mimopracovného pomeru </t>
  </si>
  <si>
    <t>Kapitálový rozpočet</t>
  </si>
  <si>
    <t>3AA2</t>
  </si>
  <si>
    <t xml:space="preserve">Tuzemské kapitálové transfery z EÚ </t>
  </si>
  <si>
    <t xml:space="preserve">Tuzemské kapitálové transfery v rámci VS zo štátneho rozpočtu </t>
  </si>
  <si>
    <t>Príjem z predaja pozemkov</t>
  </si>
  <si>
    <t xml:space="preserve">Kapitálové príjmy S P O L U </t>
  </si>
  <si>
    <t xml:space="preserve">01.1.1 Výkonné a zákonodárne orgány </t>
  </si>
  <si>
    <t>Realizácia nových stavieb</t>
  </si>
  <si>
    <t xml:space="preserve">Prípravná a projektová dokumentácia </t>
  </si>
  <si>
    <t xml:space="preserve">01. 1 1 S P O L U </t>
  </si>
  <si>
    <t xml:space="preserve">04.5.1 S P O L U </t>
  </si>
  <si>
    <t xml:space="preserve">Nákup špeciálnych strojov, prísrojov, zariadení, techniky a náradia </t>
  </si>
  <si>
    <t xml:space="preserve">Realizácia nových stavieb </t>
  </si>
  <si>
    <t xml:space="preserve">05.1.0 S P O L U </t>
  </si>
  <si>
    <t>06.2.0 Rozvoj obce</t>
  </si>
  <si>
    <t>Nákup pozemkov a nehnuteľných aktív</t>
  </si>
  <si>
    <t>Prípravné a projektové práce</t>
  </si>
  <si>
    <t xml:space="preserve">Realizácia nových stavieb - detské </t>
  </si>
  <si>
    <t>Rekonštrukcia a modernizácia</t>
  </si>
  <si>
    <t xml:space="preserve">06.2.0 S P O L U </t>
  </si>
  <si>
    <t xml:space="preserve">Rekonštrukcia a modernizácia - ihrisko </t>
  </si>
  <si>
    <t xml:space="preserve">08.1.0 S P O L U </t>
  </si>
  <si>
    <t>Rekonštrukcia  a modernizácia</t>
  </si>
  <si>
    <t xml:space="preserve">08.2.0 S P O L U </t>
  </si>
  <si>
    <t xml:space="preserve">09.1.1.1 Predprimárne vzdelávanie s bežnou starostilovsťou - Materská škola </t>
  </si>
  <si>
    <t xml:space="preserve">0.9.1.1.1 S P O L U </t>
  </si>
  <si>
    <t xml:space="preserve">10.2.0 S P O L U </t>
  </si>
  <si>
    <t>Príprava a projektová dokumentácia</t>
  </si>
  <si>
    <t>Realizcia nových stavieb</t>
  </si>
  <si>
    <t>Finančné operácie</t>
  </si>
  <si>
    <t>Návratná finančná výpomoc dlhodobá</t>
  </si>
  <si>
    <t>Splácanie tuzemksej istiny z bankových úverov dlhodobých</t>
  </si>
  <si>
    <t xml:space="preserve">Splácanie uzemskej istiny z ostatných úverov dlhodobých </t>
  </si>
  <si>
    <t xml:space="preserve">Finančné výdavkové operácie S P O L U </t>
  </si>
  <si>
    <t>Kapitálové výdavky S P O L U</t>
  </si>
  <si>
    <t xml:space="preserve">Saldo Fiannčných operácií </t>
  </si>
  <si>
    <t>Výdavkové finančné operácie</t>
  </si>
  <si>
    <t xml:space="preserve">Fiannčné príjmové operácie S P O L U </t>
  </si>
  <si>
    <t>Potraviny - príspevok rodičov 72f</t>
  </si>
  <si>
    <t>Servis, údržba a výdavky s tým spojené - traktor</t>
  </si>
  <si>
    <t>Skutočnosť    2021</t>
  </si>
  <si>
    <t>Návrh rozpočtu 2023</t>
  </si>
  <si>
    <t>Rozpočet    2022</t>
  </si>
  <si>
    <t>Návrh na rok 2025</t>
  </si>
  <si>
    <t>1P01</t>
  </si>
  <si>
    <t>1P02</t>
  </si>
  <si>
    <t>Daň za nevýherné automaty</t>
  </si>
  <si>
    <t xml:space="preserve">Za prebytočný hnuteľný majetok </t>
  </si>
  <si>
    <t>Od nefinančnej právnickej osoby</t>
  </si>
  <si>
    <t>Granty</t>
  </si>
  <si>
    <t>1</t>
  </si>
  <si>
    <t>2</t>
  </si>
  <si>
    <t>Skutočnosť 2021</t>
  </si>
  <si>
    <t>Rutinná a štandardná údržba komunikačnej infraštruktúry</t>
  </si>
  <si>
    <t>034</t>
  </si>
  <si>
    <t xml:space="preserve">Zdravotných zariadeniach </t>
  </si>
  <si>
    <t>Odemeny pracovníkom mimo pracovného pomeru</t>
  </si>
  <si>
    <t>Na dávku v hmotnej núdzi a príspevky k dávke</t>
  </si>
  <si>
    <t>Prevádzkové stroje, prístroje, zariadenia, technika</t>
  </si>
  <si>
    <t>0</t>
  </si>
  <si>
    <t>Cestovné náhrady - tuzemské</t>
  </si>
  <si>
    <t>Prevádzkové stroje, prístroje, zariadenia</t>
  </si>
  <si>
    <t xml:space="preserve">Interiérové vybavenie </t>
  </si>
  <si>
    <t xml:space="preserve">Rutinná a štandardná údržba prevádzkových strojov, prístrojov, zariadení </t>
  </si>
  <si>
    <t xml:space="preserve">Návrh na rok 2024 </t>
  </si>
  <si>
    <t xml:space="preserve">Nákup špeciálnych strojov, prístrojov, zariadení, techniky, náradia - komunikačnej infraštruktúry </t>
  </si>
  <si>
    <t>Rekonštrukcia a modernizácia - miestna komunikácia</t>
  </si>
  <si>
    <t>Skutočnosť rok       2020</t>
  </si>
  <si>
    <t>Skutočnosť rok 2021</t>
  </si>
  <si>
    <t>Predpoklad rok 2022</t>
  </si>
  <si>
    <t>Nemocenské poistenie (1,40 %)</t>
  </si>
  <si>
    <t>Starobné poistenie (14 %)</t>
  </si>
  <si>
    <t>Úrazové poistenie (0,80 %)</t>
  </si>
  <si>
    <t>Invalidné poistenie (3 %)</t>
  </si>
  <si>
    <t>Poistenie v nezamestnanosti (1 %)</t>
  </si>
  <si>
    <t>Poistné do rezervného fondu solidarity (4,75 %)</t>
  </si>
  <si>
    <t>Príspevok do doplnových dôchod. poisťovní (2 %)</t>
  </si>
  <si>
    <t>Nájomné za nájom z objektov</t>
  </si>
  <si>
    <t>0,00</t>
  </si>
  <si>
    <t xml:space="preserve">Odmeny zamestnancov mimopracovného pomeru </t>
  </si>
  <si>
    <t>Štúdie, expertízy, posudky</t>
  </si>
  <si>
    <t>Rutinná a štandardná údržba prevádzkových strojov, prístrojov, zariadení</t>
  </si>
  <si>
    <t>Poistné do ostatných zdravotných poisťovní (10%)</t>
  </si>
  <si>
    <t>019</t>
  </si>
  <si>
    <t>na prídavok na dieťa</t>
  </si>
  <si>
    <t>5</t>
  </si>
  <si>
    <t>6</t>
  </si>
  <si>
    <t>7</t>
  </si>
  <si>
    <t>8</t>
  </si>
  <si>
    <t>9</t>
  </si>
  <si>
    <t>41</t>
  </si>
  <si>
    <t>1P01,1P02</t>
  </si>
  <si>
    <t>SPOLU</t>
  </si>
  <si>
    <t>rok 2024</t>
  </si>
  <si>
    <t>rok 2025</t>
  </si>
  <si>
    <t>71</t>
  </si>
  <si>
    <t>Poistné do ostatných zdravotných poisťovní (10 %)</t>
  </si>
  <si>
    <t>Úrazové poistenie (0,8 %)</t>
  </si>
  <si>
    <t>Príspevok do doplnkových dôchodcovských poisťovní (2 % )</t>
  </si>
  <si>
    <t>Poistné do rezervného fondu solidarity (4,75%)</t>
  </si>
  <si>
    <t>Príspevok do doplnkových dôchodcovských poisťovní (2 %)</t>
  </si>
  <si>
    <t>Na obchodné</t>
  </si>
  <si>
    <t>Na starobné poistenie (14 %)</t>
  </si>
  <si>
    <t>Poistenie do rezervného fondu solidarity (4,75 %)</t>
  </si>
  <si>
    <t>Úrazové poisteni (0,80 %)</t>
  </si>
  <si>
    <t>Prepravné a nájom dopravných prostriedkov</t>
  </si>
  <si>
    <t xml:space="preserve">Komunikačná infraštruktúra - internet </t>
  </si>
  <si>
    <t xml:space="preserve">Rutinná a štandardná údržba špecializovaného  konfiguračného softvéru a krabisového softvéru </t>
  </si>
  <si>
    <t xml:space="preserve">Rutinná a štandardná údržba špeciálneho konfigurovaného softvéru a krabicového softvéru </t>
  </si>
  <si>
    <t>Prevádzkových strojov, prístrojov, zariadení</t>
  </si>
  <si>
    <t>Správne poplatky</t>
  </si>
  <si>
    <t>3AA1</t>
  </si>
  <si>
    <t>1AA1</t>
  </si>
  <si>
    <t>Očakávaná skutočnosť za rok 2022</t>
  </si>
  <si>
    <t>Rozpočet 2022</t>
  </si>
  <si>
    <t>4</t>
  </si>
  <si>
    <t>Telekomunikačná infraštruktúra</t>
  </si>
  <si>
    <t>Rozpočet rok 2022</t>
  </si>
  <si>
    <t>Poistné do Všeobecnej zdravotnej poisťovni (10 %)</t>
  </si>
  <si>
    <t xml:space="preserve">Poistné do ostatných zdravotných poisťovní </t>
  </si>
  <si>
    <t>Poistné do ostatných zdravotných poisťovní (5%)</t>
  </si>
  <si>
    <t>Poistné do Všeobecnej zdravotnej poisťovni (5%)</t>
  </si>
  <si>
    <t>Poistné do všeobecnej zdravotnej poisťovni (3 %)</t>
  </si>
  <si>
    <t>Poistné do ostatných zdravotných poisťovní (7 %)</t>
  </si>
  <si>
    <t>Poistné do všeobecnej zdravotnej poisťovni (8 %)</t>
  </si>
  <si>
    <t>Poistné do ostatných zdravotných poisťovní (2 %)</t>
  </si>
  <si>
    <t>Poistné do všeobecnej zdravotnej poisťovni (3 % )</t>
  </si>
  <si>
    <t>Poistné do ostatných zdravotných poisťovní (5 %)</t>
  </si>
  <si>
    <t>Poistné do všeobecnej zdravotnej poisťovni (5 %)</t>
  </si>
  <si>
    <t>Poistné do všeobecnej zravotnej poisťovne (8 %)</t>
  </si>
  <si>
    <t>Poistné do ostatných zdravotných poisťovní (12 %)</t>
  </si>
  <si>
    <t>Príspevok o sociálneho fondu (1 %)</t>
  </si>
  <si>
    <t>11</t>
  </si>
  <si>
    <t>Dane (koncesionálne poplatky)</t>
  </si>
  <si>
    <t>Nákup prevádzkových strojov, prístrojov, zariadení</t>
  </si>
  <si>
    <t>1AA2</t>
  </si>
  <si>
    <t>Európsky fond regionálneho rozvoja</t>
  </si>
  <si>
    <t>Európsky sociálny fond</t>
  </si>
  <si>
    <t>Poistné do všeobvecnej zdravotnej poisťovni (5 %</t>
  </si>
  <si>
    <t>Prístavby, nadstavby, stavebné úpravy</t>
  </si>
  <si>
    <t xml:space="preserve">Jednotlivcovi </t>
  </si>
  <si>
    <t>72a</t>
  </si>
  <si>
    <t>Rekonštrukcia a moderrnizácia  - dotácia</t>
  </si>
  <si>
    <t>Prevod z rezervného fondu obce</t>
  </si>
  <si>
    <t>Európsky fond regionálneho rozvoja dotácia zo EÚ na prístavbu Mš</t>
  </si>
  <si>
    <t>Všeobecné služby - vzdelávacie poukazy</t>
  </si>
  <si>
    <t>Cestovné náhrady ŠvP</t>
  </si>
  <si>
    <t xml:space="preserve">Odmeny a príspevky - členom volebnej komisie </t>
  </si>
  <si>
    <t xml:space="preserve">Daň z bytov a nebytových priestorov v bytovom dome </t>
  </si>
  <si>
    <t>Európsky sociálny fond - opatrovateľská služba</t>
  </si>
  <si>
    <t>Edukačné publikácie pre cudzí jazyk - DPH 10 %</t>
  </si>
  <si>
    <t xml:space="preserve">Edukačné publikácie pre cudzí jazyk </t>
  </si>
  <si>
    <t>Európsky fond regionálneho rozvoja zo ŠR</t>
  </si>
  <si>
    <t>Európsky fond regionálneho rozvoja - 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</si>
</sst>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i/>
      <sz val="14"/>
      <color theme="0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color theme="0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FF6D6D"/>
        <bgColor indexed="64"/>
      </patternFill>
    </fill>
    <fill>
      <patternFill patternType="solid">
        <fgColor rgb="FFFF696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9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4" xfId="0" applyFont="1" applyBorder="1"/>
    <xf numFmtId="0" fontId="2" fillId="0" borderId="9" xfId="0" applyFont="1" applyBorder="1"/>
    <xf numFmtId="0" fontId="2" fillId="2" borderId="4" xfId="0" applyFont="1" applyFill="1" applyBorder="1"/>
    <xf numFmtId="0" fontId="2" fillId="0" borderId="10" xfId="0" applyFont="1" applyBorder="1"/>
    <xf numFmtId="4" fontId="2" fillId="0" borderId="13" xfId="0" applyNumberFormat="1" applyFont="1" applyBorder="1" applyAlignment="1">
      <alignment horizontal="center" vertical="center"/>
    </xf>
    <xf numFmtId="4" fontId="2" fillId="4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8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right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20" xfId="0" applyFont="1" applyBorder="1"/>
    <xf numFmtId="0" fontId="2" fillId="0" borderId="21" xfId="0" applyFont="1" applyBorder="1"/>
    <xf numFmtId="4" fontId="0" fillId="0" borderId="0" xfId="0" applyNumberFormat="1"/>
    <xf numFmtId="4" fontId="2" fillId="0" borderId="20" xfId="0" applyNumberFormat="1" applyFont="1" applyBorder="1"/>
    <xf numFmtId="4" fontId="2" fillId="0" borderId="21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0" fillId="0" borderId="0" xfId="0" applyNumberFormat="1"/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3" fillId="0" borderId="3" xfId="0" applyNumberFormat="1" applyFont="1" applyBorder="1"/>
    <xf numFmtId="0" fontId="2" fillId="0" borderId="12" xfId="0" applyFont="1" applyBorder="1" applyAlignment="1">
      <alignment horizontal="center"/>
    </xf>
    <xf numFmtId="49" fontId="2" fillId="0" borderId="21" xfId="0" applyNumberFormat="1" applyFont="1" applyBorder="1"/>
    <xf numFmtId="49" fontId="2" fillId="0" borderId="1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4" fillId="0" borderId="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/>
    <xf numFmtId="4" fontId="3" fillId="0" borderId="6" xfId="0" applyNumberFormat="1" applyFont="1" applyBorder="1"/>
    <xf numFmtId="49" fontId="2" fillId="0" borderId="2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3" xfId="0" applyFont="1" applyBorder="1"/>
    <xf numFmtId="0" fontId="4" fillId="0" borderId="0" xfId="0" applyFont="1" applyBorder="1" applyAlignment="1">
      <alignment horizontal="center"/>
    </xf>
    <xf numFmtId="49" fontId="2" fillId="0" borderId="3" xfId="0" applyNumberFormat="1" applyFont="1" applyBorder="1"/>
    <xf numFmtId="0" fontId="2" fillId="0" borderId="3" xfId="0" applyFont="1" applyBorder="1" applyAlignment="1">
      <alignment wrapText="1"/>
    </xf>
    <xf numFmtId="49" fontId="3" fillId="5" borderId="12" xfId="0" applyNumberFormat="1" applyFont="1" applyFill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9" fontId="3" fillId="5" borderId="22" xfId="0" applyNumberFormat="1" applyFont="1" applyFill="1" applyBorder="1" applyAlignment="1">
      <alignment horizontal="center"/>
    </xf>
    <xf numFmtId="49" fontId="3" fillId="5" borderId="1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4" fontId="3" fillId="5" borderId="3" xfId="0" applyNumberFormat="1" applyFont="1" applyFill="1" applyBorder="1"/>
    <xf numFmtId="4" fontId="3" fillId="5" borderId="21" xfId="0" applyNumberFormat="1" applyFont="1" applyFill="1" applyBorder="1"/>
    <xf numFmtId="49" fontId="2" fillId="5" borderId="3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 vertical="center"/>
    </xf>
    <xf numFmtId="4" fontId="3" fillId="5" borderId="3" xfId="0" applyNumberFormat="1" applyFont="1" applyFill="1" applyBorder="1" applyAlignment="1">
      <alignment horizontal="center" vertical="center"/>
    </xf>
    <xf numFmtId="4" fontId="2" fillId="7" borderId="3" xfId="0" applyNumberFormat="1" applyFont="1" applyFill="1" applyBorder="1"/>
    <xf numFmtId="4" fontId="3" fillId="5" borderId="11" xfId="0" applyNumberFormat="1" applyFont="1" applyFill="1" applyBorder="1"/>
    <xf numFmtId="49" fontId="3" fillId="5" borderId="19" xfId="0" applyNumberFormat="1" applyFont="1" applyFill="1" applyBorder="1" applyAlignment="1">
      <alignment horizontal="center"/>
    </xf>
    <xf numFmtId="4" fontId="4" fillId="0" borderId="3" xfId="0" applyNumberFormat="1" applyFont="1" applyBorder="1"/>
    <xf numFmtId="4" fontId="4" fillId="6" borderId="3" xfId="0" applyNumberFormat="1" applyFont="1" applyFill="1" applyBorder="1"/>
    <xf numFmtId="4" fontId="2" fillId="6" borderId="13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  <xf numFmtId="0" fontId="2" fillId="0" borderId="0" xfId="0" applyFont="1" applyAlignment="1">
      <alignment horizontal="right"/>
    </xf>
    <xf numFmtId="0" fontId="2" fillId="0" borderId="0" xfId="0" applyFont="1"/>
    <xf numFmtId="49" fontId="2" fillId="0" borderId="0" xfId="0" applyNumberFormat="1" applyFont="1" applyAlignment="1">
      <alignment horizontal="right"/>
    </xf>
    <xf numFmtId="4" fontId="2" fillId="0" borderId="0" xfId="0" applyNumberFormat="1" applyFont="1"/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/>
    <xf numFmtId="4" fontId="3" fillId="0" borderId="11" xfId="0" applyNumberFormat="1" applyFont="1" applyBorder="1"/>
    <xf numFmtId="4" fontId="3" fillId="0" borderId="23" xfId="0" applyNumberFormat="1" applyFont="1" applyBorder="1"/>
    <xf numFmtId="0" fontId="2" fillId="0" borderId="21" xfId="0" applyFont="1" applyBorder="1" applyAlignment="1">
      <alignment horizontal="right"/>
    </xf>
    <xf numFmtId="49" fontId="2" fillId="0" borderId="21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" fontId="2" fillId="12" borderId="20" xfId="0" applyNumberFormat="1" applyFont="1" applyFill="1" applyBorder="1"/>
    <xf numFmtId="4" fontId="2" fillId="12" borderId="21" xfId="0" applyNumberFormat="1" applyFont="1" applyFill="1" applyBorder="1"/>
    <xf numFmtId="4" fontId="3" fillId="11" borderId="3" xfId="0" applyNumberFormat="1" applyFont="1" applyFill="1" applyBorder="1"/>
    <xf numFmtId="4" fontId="2" fillId="12" borderId="3" xfId="0" applyNumberFormat="1" applyFont="1" applyFill="1" applyBorder="1"/>
    <xf numFmtId="4" fontId="2" fillId="0" borderId="6" xfId="0" applyNumberFormat="1" applyFont="1" applyBorder="1"/>
    <xf numFmtId="2" fontId="2" fillId="12" borderId="21" xfId="0" applyNumberFormat="1" applyFont="1" applyFill="1" applyBorder="1"/>
    <xf numFmtId="49" fontId="3" fillId="0" borderId="3" xfId="0" applyNumberFormat="1" applyFont="1" applyBorder="1" applyAlignment="1">
      <alignment horizontal="center" vertical="center"/>
    </xf>
    <xf numFmtId="0" fontId="3" fillId="11" borderId="3" xfId="0" applyFont="1" applyFill="1" applyBorder="1" applyAlignment="1">
      <alignment horizontal="center" vertical="center" wrapText="1"/>
    </xf>
    <xf numFmtId="4" fontId="3" fillId="11" borderId="21" xfId="0" applyNumberFormat="1" applyFont="1" applyFill="1" applyBorder="1"/>
    <xf numFmtId="2" fontId="3" fillId="11" borderId="4" xfId="0" applyNumberFormat="1" applyFont="1" applyFill="1" applyBorder="1"/>
    <xf numFmtId="2" fontId="3" fillId="0" borderId="3" xfId="0" applyNumberFormat="1" applyFont="1" applyBorder="1"/>
    <xf numFmtId="2" fontId="2" fillId="0" borderId="21" xfId="0" applyNumberFormat="1" applyFont="1" applyBorder="1"/>
    <xf numFmtId="49" fontId="2" fillId="0" borderId="24" xfId="0" applyNumberFormat="1" applyFont="1" applyBorder="1" applyAlignment="1">
      <alignment horizontal="right"/>
    </xf>
    <xf numFmtId="0" fontId="0" fillId="0" borderId="0" xfId="0" applyFill="1"/>
    <xf numFmtId="4" fontId="14" fillId="11" borderId="3" xfId="0" applyNumberFormat="1" applyFont="1" applyFill="1" applyBorder="1"/>
    <xf numFmtId="4" fontId="2" fillId="10" borderId="13" xfId="0" applyNumberFormat="1" applyFont="1" applyFill="1" applyBorder="1" applyAlignment="1">
      <alignment horizontal="center" vertical="center"/>
    </xf>
    <xf numFmtId="4" fontId="2" fillId="11" borderId="1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/>
    <xf numFmtId="0" fontId="3" fillId="10" borderId="3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Fill="1" applyBorder="1"/>
    <xf numFmtId="4" fontId="4" fillId="8" borderId="3" xfId="0" applyNumberFormat="1" applyFont="1" applyFill="1" applyBorder="1"/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14" borderId="3" xfId="0" applyFont="1" applyFill="1" applyBorder="1" applyAlignment="1">
      <alignment horizontal="center" wrapText="1"/>
    </xf>
    <xf numFmtId="0" fontId="3" fillId="14" borderId="12" xfId="0" applyFont="1" applyFill="1" applyBorder="1" applyAlignment="1">
      <alignment horizontal="center" wrapText="1"/>
    </xf>
    <xf numFmtId="4" fontId="3" fillId="14" borderId="3" xfId="0" applyNumberFormat="1" applyFont="1" applyFill="1" applyBorder="1"/>
    <xf numFmtId="4" fontId="2" fillId="16" borderId="21" xfId="0" applyNumberFormat="1" applyFont="1" applyFill="1" applyBorder="1"/>
    <xf numFmtId="4" fontId="2" fillId="15" borderId="13" xfId="0" applyNumberFormat="1" applyFont="1" applyFill="1" applyBorder="1" applyAlignment="1">
      <alignment horizontal="center" vertical="center"/>
    </xf>
    <xf numFmtId="4" fontId="2" fillId="14" borderId="1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2" fillId="0" borderId="3" xfId="0" applyNumberFormat="1" applyFont="1" applyFill="1" applyBorder="1"/>
    <xf numFmtId="49" fontId="2" fillId="0" borderId="38" xfId="0" applyNumberFormat="1" applyFont="1" applyBorder="1"/>
    <xf numFmtId="49" fontId="2" fillId="0" borderId="39" xfId="0" applyNumberFormat="1" applyFont="1" applyBorder="1"/>
    <xf numFmtId="49" fontId="2" fillId="0" borderId="40" xfId="0" applyNumberFormat="1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2" fillId="0" borderId="40" xfId="0" applyFont="1" applyBorder="1" applyAlignment="1">
      <alignment horizontal="right"/>
    </xf>
    <xf numFmtId="49" fontId="2" fillId="0" borderId="41" xfId="0" applyNumberFormat="1" applyFont="1" applyBorder="1"/>
    <xf numFmtId="49" fontId="2" fillId="0" borderId="37" xfId="0" applyNumberFormat="1" applyFont="1" applyBorder="1"/>
    <xf numFmtId="49" fontId="2" fillId="0" borderId="42" xfId="0" applyNumberFormat="1" applyFont="1" applyBorder="1"/>
    <xf numFmtId="4" fontId="2" fillId="0" borderId="43" xfId="0" applyNumberFormat="1" applyFont="1" applyBorder="1"/>
    <xf numFmtId="4" fontId="2" fillId="0" borderId="44" xfId="0" applyNumberFormat="1" applyFont="1" applyBorder="1"/>
    <xf numFmtId="4" fontId="2" fillId="0" borderId="45" xfId="0" applyNumberFormat="1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4" fontId="2" fillId="0" borderId="38" xfId="0" applyNumberFormat="1" applyFont="1" applyBorder="1"/>
    <xf numFmtId="4" fontId="2" fillId="0" borderId="39" xfId="0" applyNumberFormat="1" applyFont="1" applyBorder="1"/>
    <xf numFmtId="4" fontId="2" fillId="0" borderId="40" xfId="0" applyNumberFormat="1" applyFont="1" applyBorder="1"/>
    <xf numFmtId="4" fontId="2" fillId="0" borderId="38" xfId="0" applyNumberFormat="1" applyFont="1" applyFill="1" applyBorder="1"/>
    <xf numFmtId="4" fontId="2" fillId="0" borderId="39" xfId="0" applyNumberFormat="1" applyFont="1" applyFill="1" applyBorder="1"/>
    <xf numFmtId="4" fontId="2" fillId="0" borderId="40" xfId="0" applyNumberFormat="1" applyFont="1" applyFill="1" applyBorder="1"/>
    <xf numFmtId="0" fontId="2" fillId="0" borderId="46" xfId="0" applyFont="1" applyBorder="1"/>
    <xf numFmtId="4" fontId="2" fillId="0" borderId="46" xfId="0" applyNumberFormat="1" applyFont="1" applyBorder="1"/>
    <xf numFmtId="0" fontId="1" fillId="0" borderId="39" xfId="0" applyFont="1" applyBorder="1" applyAlignment="1">
      <alignment wrapText="1"/>
    </xf>
    <xf numFmtId="49" fontId="2" fillId="5" borderId="22" xfId="0" applyNumberFormat="1" applyFont="1" applyFill="1" applyBorder="1" applyAlignment="1">
      <alignment horizontal="center"/>
    </xf>
    <xf numFmtId="49" fontId="2" fillId="5" borderId="12" xfId="0" applyNumberFormat="1" applyFont="1" applyFill="1" applyBorder="1" applyAlignment="1">
      <alignment horizontal="center"/>
    </xf>
    <xf numFmtId="4" fontId="3" fillId="0" borderId="21" xfId="0" applyNumberFormat="1" applyFont="1" applyBorder="1"/>
    <xf numFmtId="4" fontId="2" fillId="7" borderId="26" xfId="0" applyNumberFormat="1" applyFont="1" applyFill="1" applyBorder="1"/>
    <xf numFmtId="4" fontId="2" fillId="7" borderId="28" xfId="0" applyNumberFormat="1" applyFont="1" applyFill="1" applyBorder="1"/>
    <xf numFmtId="4" fontId="2" fillId="7" borderId="27" xfId="0" applyNumberFormat="1" applyFont="1" applyFill="1" applyBorder="1"/>
    <xf numFmtId="49" fontId="2" fillId="0" borderId="4" xfId="0" applyNumberFormat="1" applyFont="1" applyBorder="1" applyAlignment="1">
      <alignment horizontal="center"/>
    </xf>
    <xf numFmtId="4" fontId="3" fillId="0" borderId="4" xfId="0" applyNumberFormat="1" applyFont="1" applyBorder="1"/>
    <xf numFmtId="4" fontId="2" fillId="7" borderId="36" xfId="0" applyNumberFormat="1" applyFont="1" applyFill="1" applyBorder="1"/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wrapText="1"/>
    </xf>
    <xf numFmtId="49" fontId="2" fillId="5" borderId="4" xfId="0" applyNumberFormat="1" applyFont="1" applyFill="1" applyBorder="1" applyAlignment="1">
      <alignment horizontal="center"/>
    </xf>
    <xf numFmtId="4" fontId="2" fillId="7" borderId="30" xfId="0" applyNumberFormat="1" applyFont="1" applyFill="1" applyBorder="1"/>
    <xf numFmtId="4" fontId="2" fillId="7" borderId="31" xfId="0" applyNumberFormat="1" applyFont="1" applyFill="1" applyBorder="1"/>
    <xf numFmtId="4" fontId="2" fillId="7" borderId="32" xfId="0" applyNumberFormat="1" applyFont="1" applyFill="1" applyBorder="1"/>
    <xf numFmtId="4" fontId="2" fillId="7" borderId="33" xfId="0" applyNumberFormat="1" applyFont="1" applyFill="1" applyBorder="1"/>
    <xf numFmtId="4" fontId="2" fillId="7" borderId="34" xfId="0" applyNumberFormat="1" applyFont="1" applyFill="1" applyBorder="1"/>
    <xf numFmtId="4" fontId="2" fillId="7" borderId="35" xfId="0" applyNumberFormat="1" applyFont="1" applyFill="1" applyBorder="1"/>
    <xf numFmtId="4" fontId="3" fillId="0" borderId="21" xfId="0" applyNumberFormat="1" applyFont="1" applyBorder="1" applyAlignment="1"/>
    <xf numFmtId="4" fontId="3" fillId="5" borderId="21" xfId="0" applyNumberFormat="1" applyFont="1" applyFill="1" applyBorder="1" applyAlignment="1"/>
    <xf numFmtId="4" fontId="2" fillId="7" borderId="47" xfId="0" applyNumberFormat="1" applyFont="1" applyFill="1" applyBorder="1"/>
    <xf numFmtId="4" fontId="2" fillId="7" borderId="48" xfId="0" applyNumberFormat="1" applyFont="1" applyFill="1" applyBorder="1"/>
    <xf numFmtId="4" fontId="2" fillId="7" borderId="49" xfId="0" applyNumberFormat="1" applyFont="1" applyFill="1" applyBorder="1"/>
    <xf numFmtId="4" fontId="2" fillId="7" borderId="50" xfId="0" applyNumberFormat="1" applyFont="1" applyFill="1" applyBorder="1"/>
    <xf numFmtId="4" fontId="2" fillId="7" borderId="51" xfId="0" applyNumberFormat="1" applyFont="1" applyFill="1" applyBorder="1"/>
    <xf numFmtId="4" fontId="2" fillId="7" borderId="52" xfId="0" applyNumberFormat="1" applyFont="1" applyFill="1" applyBorder="1"/>
    <xf numFmtId="4" fontId="3" fillId="0" borderId="21" xfId="0" applyNumberFormat="1" applyFont="1" applyFill="1" applyBorder="1"/>
    <xf numFmtId="4" fontId="3" fillId="0" borderId="10" xfId="0" applyNumberFormat="1" applyFont="1" applyBorder="1"/>
    <xf numFmtId="0" fontId="2" fillId="0" borderId="38" xfId="0" applyFont="1" applyBorder="1" applyAlignment="1">
      <alignment wrapText="1"/>
    </xf>
    <xf numFmtId="4" fontId="2" fillId="0" borderId="38" xfId="0" applyNumberFormat="1" applyFont="1" applyBorder="1" applyAlignment="1">
      <alignment vertical="center"/>
    </xf>
    <xf numFmtId="4" fontId="2" fillId="7" borderId="47" xfId="0" applyNumberFormat="1" applyFont="1" applyFill="1" applyBorder="1" applyAlignment="1">
      <alignment vertical="center"/>
    </xf>
    <xf numFmtId="4" fontId="2" fillId="7" borderId="48" xfId="0" applyNumberFormat="1" applyFont="1" applyFill="1" applyBorder="1" applyAlignment="1">
      <alignment vertical="center"/>
    </xf>
    <xf numFmtId="4" fontId="2" fillId="7" borderId="49" xfId="0" applyNumberFormat="1" applyFont="1" applyFill="1" applyBorder="1" applyAlignment="1">
      <alignment vertical="center"/>
    </xf>
    <xf numFmtId="4" fontId="2" fillId="7" borderId="52" xfId="0" applyNumberFormat="1" applyFont="1" applyFill="1" applyBorder="1" applyAlignment="1">
      <alignment vertical="center"/>
    </xf>
    <xf numFmtId="49" fontId="2" fillId="0" borderId="38" xfId="0" applyNumberFormat="1" applyFont="1" applyBorder="1" applyAlignment="1">
      <alignment horizontal="left"/>
    </xf>
    <xf numFmtId="49" fontId="2" fillId="0" borderId="38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49" fontId="3" fillId="0" borderId="25" xfId="0" applyNumberFormat="1" applyFont="1" applyBorder="1" applyAlignment="1">
      <alignment horizontal="center"/>
    </xf>
    <xf numFmtId="49" fontId="2" fillId="0" borderId="46" xfId="0" applyNumberFormat="1" applyFont="1" applyBorder="1"/>
    <xf numFmtId="0" fontId="2" fillId="0" borderId="39" xfId="0" applyFont="1" applyFill="1" applyBorder="1" applyAlignment="1">
      <alignment wrapText="1"/>
    </xf>
    <xf numFmtId="0" fontId="2" fillId="0" borderId="53" xfId="0" applyFont="1" applyBorder="1"/>
    <xf numFmtId="0" fontId="2" fillId="0" borderId="45" xfId="0" applyFont="1" applyBorder="1"/>
    <xf numFmtId="4" fontId="2" fillId="7" borderId="54" xfId="0" applyNumberFormat="1" applyFont="1" applyFill="1" applyBorder="1"/>
    <xf numFmtId="4" fontId="2" fillId="0" borderId="53" xfId="0" applyNumberFormat="1" applyFont="1" applyBorder="1"/>
    <xf numFmtId="4" fontId="2" fillId="0" borderId="55" xfId="0" applyNumberFormat="1" applyFont="1" applyBorder="1"/>
    <xf numFmtId="4" fontId="2" fillId="7" borderId="56" xfId="0" applyNumberFormat="1" applyFont="1" applyFill="1" applyBorder="1"/>
    <xf numFmtId="4" fontId="2" fillId="0" borderId="57" xfId="0" applyNumberFormat="1" applyFont="1" applyBorder="1"/>
    <xf numFmtId="49" fontId="3" fillId="5" borderId="4" xfId="0" applyNumberFormat="1" applyFont="1" applyFill="1" applyBorder="1" applyAlignment="1">
      <alignment horizontal="center"/>
    </xf>
    <xf numFmtId="49" fontId="2" fillId="0" borderId="55" xfId="0" applyNumberFormat="1" applyFont="1" applyBorder="1" applyAlignment="1">
      <alignment horizontal="left"/>
    </xf>
    <xf numFmtId="49" fontId="2" fillId="0" borderId="55" xfId="0" applyNumberFormat="1" applyFont="1" applyBorder="1" applyAlignment="1">
      <alignment horizontal="right"/>
    </xf>
    <xf numFmtId="0" fontId="2" fillId="0" borderId="55" xfId="0" applyFont="1" applyBorder="1" applyAlignment="1">
      <alignment horizontal="right"/>
    </xf>
    <xf numFmtId="2" fontId="2" fillId="0" borderId="55" xfId="0" applyNumberFormat="1" applyFont="1" applyBorder="1" applyAlignment="1">
      <alignment horizontal="right"/>
    </xf>
    <xf numFmtId="2" fontId="2" fillId="7" borderId="27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2" fillId="0" borderId="55" xfId="0" applyNumberFormat="1" applyFont="1" applyBorder="1"/>
    <xf numFmtId="0" fontId="2" fillId="0" borderId="55" xfId="0" applyFont="1" applyBorder="1"/>
    <xf numFmtId="49" fontId="3" fillId="0" borderId="6" xfId="0" applyNumberFormat="1" applyFont="1" applyBorder="1" applyAlignment="1">
      <alignment horizontal="center"/>
    </xf>
    <xf numFmtId="0" fontId="2" fillId="0" borderId="44" xfId="0" applyFont="1" applyBorder="1"/>
    <xf numFmtId="0" fontId="2" fillId="0" borderId="44" xfId="0" applyFont="1" applyBorder="1" applyAlignment="1">
      <alignment wrapText="1"/>
    </xf>
    <xf numFmtId="49" fontId="3" fillId="2" borderId="19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>
      <alignment horizontal="center"/>
    </xf>
    <xf numFmtId="4" fontId="3" fillId="2" borderId="3" xfId="0" applyNumberFormat="1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9" fontId="3" fillId="2" borderId="2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4" fontId="2" fillId="2" borderId="38" xfId="0" applyNumberFormat="1" applyFont="1" applyFill="1" applyBorder="1"/>
    <xf numFmtId="4" fontId="2" fillId="2" borderId="39" xfId="0" applyNumberFormat="1" applyFont="1" applyFill="1" applyBorder="1"/>
    <xf numFmtId="4" fontId="2" fillId="2" borderId="40" xfId="0" applyNumberFormat="1" applyFont="1" applyFill="1" applyBorder="1"/>
    <xf numFmtId="0" fontId="2" fillId="2" borderId="38" xfId="0" applyFont="1" applyFill="1" applyBorder="1"/>
    <xf numFmtId="0" fontId="2" fillId="2" borderId="39" xfId="0" applyFont="1" applyFill="1" applyBorder="1"/>
    <xf numFmtId="0" fontId="2" fillId="2" borderId="39" xfId="0" applyFont="1" applyFill="1" applyBorder="1" applyAlignment="1">
      <alignment wrapText="1"/>
    </xf>
    <xf numFmtId="0" fontId="2" fillId="2" borderId="40" xfId="0" applyFont="1" applyFill="1" applyBorder="1"/>
    <xf numFmtId="49" fontId="2" fillId="2" borderId="39" xfId="0" applyNumberFormat="1" applyFont="1" applyFill="1" applyBorder="1"/>
    <xf numFmtId="49" fontId="2" fillId="2" borderId="40" xfId="0" applyNumberFormat="1" applyFont="1" applyFill="1" applyBorder="1"/>
    <xf numFmtId="49" fontId="2" fillId="2" borderId="38" xfId="0" applyNumberFormat="1" applyFont="1" applyFill="1" applyBorder="1"/>
    <xf numFmtId="49" fontId="2" fillId="2" borderId="55" xfId="0" applyNumberFormat="1" applyFont="1" applyFill="1" applyBorder="1"/>
    <xf numFmtId="0" fontId="2" fillId="2" borderId="55" xfId="0" applyFont="1" applyFill="1" applyBorder="1"/>
    <xf numFmtId="0" fontId="3" fillId="2" borderId="3" xfId="0" applyFont="1" applyFill="1" applyBorder="1" applyAlignment="1">
      <alignment horizontal="center"/>
    </xf>
    <xf numFmtId="49" fontId="2" fillId="2" borderId="46" xfId="0" applyNumberFormat="1" applyFont="1" applyFill="1" applyBorder="1"/>
    <xf numFmtId="0" fontId="2" fillId="2" borderId="46" xfId="0" applyFont="1" applyFill="1" applyBorder="1"/>
    <xf numFmtId="4" fontId="2" fillId="2" borderId="46" xfId="0" applyNumberFormat="1" applyFont="1" applyFill="1" applyBorder="1"/>
    <xf numFmtId="4" fontId="2" fillId="16" borderId="38" xfId="0" applyNumberFormat="1" applyFont="1" applyFill="1" applyBorder="1"/>
    <xf numFmtId="2" fontId="2" fillId="0" borderId="38" xfId="0" applyNumberFormat="1" applyFont="1" applyBorder="1"/>
    <xf numFmtId="49" fontId="2" fillId="0" borderId="39" xfId="0" applyNumberFormat="1" applyFont="1" applyBorder="1" applyAlignment="1">
      <alignment horizontal="right"/>
    </xf>
    <xf numFmtId="0" fontId="2" fillId="0" borderId="41" xfId="0" applyFont="1" applyBorder="1" applyAlignment="1">
      <alignment horizontal="right"/>
    </xf>
    <xf numFmtId="49" fontId="2" fillId="0" borderId="53" xfId="0" applyNumberFormat="1" applyFont="1" applyBorder="1" applyAlignment="1">
      <alignment horizontal="right"/>
    </xf>
    <xf numFmtId="2" fontId="2" fillId="12" borderId="38" xfId="0" applyNumberFormat="1" applyFont="1" applyFill="1" applyBorder="1"/>
    <xf numFmtId="4" fontId="2" fillId="12" borderId="38" xfId="0" applyNumberFormat="1" applyFont="1" applyFill="1" applyBorder="1"/>
    <xf numFmtId="4" fontId="2" fillId="12" borderId="55" xfId="0" applyNumberFormat="1" applyFont="1" applyFill="1" applyBorder="1"/>
    <xf numFmtId="4" fontId="2" fillId="0" borderId="41" xfId="0" applyNumberFormat="1" applyFont="1" applyBorder="1"/>
    <xf numFmtId="4" fontId="2" fillId="0" borderId="58" xfId="0" applyNumberFormat="1" applyFont="1" applyBorder="1"/>
    <xf numFmtId="4" fontId="2" fillId="0" borderId="37" xfId="0" applyNumberFormat="1" applyFont="1" applyBorder="1"/>
    <xf numFmtId="4" fontId="2" fillId="7" borderId="37" xfId="0" applyNumberFormat="1" applyFont="1" applyFill="1" applyBorder="1"/>
    <xf numFmtId="2" fontId="2" fillId="0" borderId="38" xfId="0" applyNumberFormat="1" applyFont="1" applyBorder="1" applyAlignment="1">
      <alignment horizontal="right"/>
    </xf>
    <xf numFmtId="2" fontId="2" fillId="7" borderId="61" xfId="0" applyNumberFormat="1" applyFont="1" applyFill="1" applyBorder="1" applyAlignment="1">
      <alignment horizontal="right"/>
    </xf>
    <xf numFmtId="4" fontId="2" fillId="7" borderId="60" xfId="0" applyNumberFormat="1" applyFont="1" applyFill="1" applyBorder="1"/>
    <xf numFmtId="4" fontId="2" fillId="7" borderId="62" xfId="0" applyNumberFormat="1" applyFont="1" applyFill="1" applyBorder="1"/>
    <xf numFmtId="2" fontId="2" fillId="7" borderId="63" xfId="0" applyNumberFormat="1" applyFont="1" applyFill="1" applyBorder="1" applyAlignment="1">
      <alignment horizontal="right"/>
    </xf>
    <xf numFmtId="4" fontId="3" fillId="0" borderId="5" xfId="0" applyNumberFormat="1" applyFont="1" applyBorder="1"/>
    <xf numFmtId="4" fontId="2" fillId="0" borderId="42" xfId="0" applyNumberFormat="1" applyFont="1" applyBorder="1"/>
    <xf numFmtId="4" fontId="2" fillId="0" borderId="64" xfId="0" applyNumberFormat="1" applyFont="1" applyBorder="1"/>
    <xf numFmtId="49" fontId="3" fillId="0" borderId="3" xfId="0" applyNumberFormat="1" applyFont="1" applyFill="1" applyBorder="1" applyAlignment="1">
      <alignment horizontal="center"/>
    </xf>
    <xf numFmtId="4" fontId="7" fillId="5" borderId="5" xfId="0" applyNumberFormat="1" applyFont="1" applyFill="1" applyBorder="1" applyAlignment="1">
      <alignment horizontal="center"/>
    </xf>
    <xf numFmtId="4" fontId="2" fillId="7" borderId="64" xfId="0" applyNumberFormat="1" applyFont="1" applyFill="1" applyBorder="1"/>
    <xf numFmtId="4" fontId="7" fillId="5" borderId="3" xfId="0" applyNumberFormat="1" applyFont="1" applyFill="1" applyBorder="1" applyAlignment="1">
      <alignment horizontal="center"/>
    </xf>
    <xf numFmtId="4" fontId="3" fillId="0" borderId="3" xfId="0" applyNumberFormat="1" applyFont="1" applyFill="1" applyBorder="1"/>
    <xf numFmtId="4" fontId="3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3" fillId="6" borderId="5" xfId="0" applyNumberFormat="1" applyFont="1" applyFill="1" applyBorder="1"/>
    <xf numFmtId="4" fontId="3" fillId="0" borderId="3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0" borderId="21" xfId="0" applyFont="1" applyBorder="1" applyAlignment="1">
      <alignment wrapText="1"/>
    </xf>
    <xf numFmtId="4" fontId="2" fillId="7" borderId="65" xfId="0" applyNumberFormat="1" applyFont="1" applyFill="1" applyBorder="1"/>
    <xf numFmtId="49" fontId="15" fillId="0" borderId="36" xfId="0" applyNumberFormat="1" applyFont="1" applyFill="1" applyBorder="1" applyAlignment="1" applyProtection="1">
      <alignment vertical="center" wrapText="1"/>
    </xf>
    <xf numFmtId="4" fontId="2" fillId="2" borderId="55" xfId="0" applyNumberFormat="1" applyFont="1" applyFill="1" applyBorder="1"/>
    <xf numFmtId="49" fontId="2" fillId="2" borderId="38" xfId="0" applyNumberFormat="1" applyFont="1" applyFill="1" applyBorder="1" applyAlignment="1">
      <alignment horizontal="left"/>
    </xf>
    <xf numFmtId="49" fontId="2" fillId="2" borderId="38" xfId="0" applyNumberFormat="1" applyFont="1" applyFill="1" applyBorder="1" applyAlignment="1">
      <alignment horizontal="right"/>
    </xf>
    <xf numFmtId="49" fontId="2" fillId="2" borderId="38" xfId="0" applyNumberFormat="1" applyFont="1" applyFill="1" applyBorder="1" applyAlignment="1">
      <alignment horizontal="center"/>
    </xf>
    <xf numFmtId="4" fontId="2" fillId="7" borderId="59" xfId="0" applyNumberFormat="1" applyFont="1" applyFill="1" applyBorder="1" applyAlignment="1">
      <alignment horizontal="right"/>
    </xf>
    <xf numFmtId="0" fontId="2" fillId="0" borderId="55" xfId="0" applyFont="1" applyBorder="1" applyAlignment="1">
      <alignment wrapText="1"/>
    </xf>
    <xf numFmtId="0" fontId="2" fillId="0" borderId="21" xfId="0" applyFont="1" applyFill="1" applyBorder="1"/>
    <xf numFmtId="0" fontId="2" fillId="0" borderId="46" xfId="0" applyFont="1" applyBorder="1" applyAlignment="1">
      <alignment wrapText="1"/>
    </xf>
    <xf numFmtId="4" fontId="2" fillId="0" borderId="24" xfId="0" applyNumberFormat="1" applyFont="1" applyFill="1" applyBorder="1"/>
    <xf numFmtId="2" fontId="2" fillId="0" borderId="39" xfId="0" applyNumberFormat="1" applyFont="1" applyBorder="1"/>
    <xf numFmtId="4" fontId="2" fillId="0" borderId="26" xfId="0" applyNumberFormat="1" applyFont="1" applyBorder="1"/>
    <xf numFmtId="4" fontId="2" fillId="0" borderId="27" xfId="0" applyNumberFormat="1" applyFont="1" applyBorder="1"/>
    <xf numFmtId="4" fontId="2" fillId="0" borderId="28" xfId="0" applyNumberFormat="1" applyFont="1" applyBorder="1"/>
    <xf numFmtId="4" fontId="2" fillId="2" borderId="6" xfId="0" applyNumberFormat="1" applyFont="1" applyFill="1" applyBorder="1"/>
    <xf numFmtId="2" fontId="2" fillId="0" borderId="55" xfId="0" applyNumberFormat="1" applyFont="1" applyBorder="1"/>
    <xf numFmtId="49" fontId="2" fillId="0" borderId="0" xfId="0" applyNumberFormat="1" applyFont="1" applyBorder="1"/>
    <xf numFmtId="2" fontId="2" fillId="2" borderId="41" xfId="0" applyNumberFormat="1" applyFont="1" applyFill="1" applyBorder="1" applyAlignment="1">
      <alignment horizontal="right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right"/>
    </xf>
    <xf numFmtId="2" fontId="2" fillId="2" borderId="3" xfId="0" applyNumberFormat="1" applyFont="1" applyFill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vertical="center" wrapText="1"/>
    </xf>
    <xf numFmtId="4" fontId="2" fillId="7" borderId="31" xfId="0" applyNumberFormat="1" applyFont="1" applyFill="1" applyBorder="1" applyAlignment="1">
      <alignment horizontal="right"/>
    </xf>
    <xf numFmtId="49" fontId="2" fillId="5" borderId="5" xfId="0" applyNumberFormat="1" applyFont="1" applyFill="1" applyBorder="1" applyAlignment="1">
      <alignment horizontal="center"/>
    </xf>
    <xf numFmtId="49" fontId="2" fillId="0" borderId="20" xfId="0" applyNumberFormat="1" applyFont="1" applyBorder="1"/>
    <xf numFmtId="4" fontId="2" fillId="0" borderId="9" xfId="0" applyNumberFormat="1" applyFont="1" applyBorder="1"/>
    <xf numFmtId="49" fontId="7" fillId="5" borderId="3" xfId="0" applyNumberFormat="1" applyFont="1" applyFill="1" applyBorder="1" applyAlignment="1">
      <alignment horizontal="center" vertical="center"/>
    </xf>
    <xf numFmtId="2" fontId="3" fillId="5" borderId="4" xfId="0" applyNumberFormat="1" applyFont="1" applyFill="1" applyBorder="1" applyAlignment="1">
      <alignment horizontal="center" vertical="center"/>
    </xf>
    <xf numFmtId="2" fontId="3" fillId="5" borderId="3" xfId="0" applyNumberFormat="1" applyFont="1" applyFill="1" applyBorder="1" applyAlignment="1">
      <alignment horizontal="center" vertical="center"/>
    </xf>
    <xf numFmtId="2" fontId="3" fillId="5" borderId="6" xfId="0" applyNumberFormat="1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4" fontId="3" fillId="11" borderId="11" xfId="0" applyNumberFormat="1" applyFont="1" applyFill="1" applyBorder="1"/>
    <xf numFmtId="4" fontId="2" fillId="7" borderId="61" xfId="0" applyNumberFormat="1" applyFont="1" applyFill="1" applyBorder="1"/>
    <xf numFmtId="4" fontId="2" fillId="7" borderId="66" xfId="0" applyNumberFormat="1" applyFont="1" applyFill="1" applyBorder="1"/>
    <xf numFmtId="4" fontId="2" fillId="7" borderId="67" xfId="0" applyNumberFormat="1" applyFont="1" applyFill="1" applyBorder="1"/>
    <xf numFmtId="4" fontId="2" fillId="7" borderId="16" xfId="0" applyNumberFormat="1" applyFont="1" applyFill="1" applyBorder="1"/>
    <xf numFmtId="4" fontId="3" fillId="5" borderId="4" xfId="0" applyNumberFormat="1" applyFont="1" applyFill="1" applyBorder="1" applyAlignment="1"/>
    <xf numFmtId="4" fontId="2" fillId="3" borderId="41" xfId="0" applyNumberFormat="1" applyFont="1" applyFill="1" applyBorder="1"/>
    <xf numFmtId="4" fontId="2" fillId="3" borderId="37" xfId="0" applyNumberFormat="1" applyFont="1" applyFill="1" applyBorder="1"/>
    <xf numFmtId="4" fontId="2" fillId="3" borderId="42" xfId="0" applyNumberFormat="1" applyFont="1" applyFill="1" applyBorder="1"/>
    <xf numFmtId="4" fontId="2" fillId="3" borderId="6" xfId="0" applyNumberFormat="1" applyFont="1" applyFill="1" applyBorder="1"/>
    <xf numFmtId="2" fontId="2" fillId="17" borderId="38" xfId="0" applyNumberFormat="1" applyFont="1" applyFill="1" applyBorder="1"/>
    <xf numFmtId="2" fontId="2" fillId="17" borderId="55" xfId="0" applyNumberFormat="1" applyFont="1" applyFill="1" applyBorder="1"/>
    <xf numFmtId="4" fontId="2" fillId="17" borderId="39" xfId="0" applyNumberFormat="1" applyFont="1" applyFill="1" applyBorder="1"/>
    <xf numFmtId="4" fontId="2" fillId="17" borderId="21" xfId="0" applyNumberFormat="1" applyFont="1" applyFill="1" applyBorder="1"/>
    <xf numFmtId="4" fontId="2" fillId="17" borderId="37" xfId="0" applyNumberFormat="1" applyFont="1" applyFill="1" applyBorder="1"/>
    <xf numFmtId="0" fontId="1" fillId="0" borderId="0" xfId="0" applyFont="1"/>
    <xf numFmtId="0" fontId="3" fillId="0" borderId="12" xfId="0" applyFont="1" applyBorder="1" applyAlignment="1">
      <alignment horizontal="center" vertical="center"/>
    </xf>
    <xf numFmtId="4" fontId="2" fillId="0" borderId="21" xfId="0" applyNumberFormat="1" applyFont="1" applyFill="1" applyBorder="1"/>
    <xf numFmtId="4" fontId="2" fillId="0" borderId="46" xfId="0" applyNumberFormat="1" applyFont="1" applyFill="1" applyBorder="1"/>
    <xf numFmtId="4" fontId="2" fillId="0" borderId="41" xfId="0" applyNumberFormat="1" applyFont="1" applyFill="1" applyBorder="1"/>
    <xf numFmtId="4" fontId="2" fillId="0" borderId="58" xfId="0" applyNumberFormat="1" applyFont="1" applyFill="1" applyBorder="1"/>
    <xf numFmtId="4" fontId="2" fillId="0" borderId="37" xfId="0" applyNumberFormat="1" applyFont="1" applyFill="1" applyBorder="1"/>
    <xf numFmtId="4" fontId="2" fillId="0" borderId="9" xfId="0" applyNumberFormat="1" applyFont="1" applyFill="1" applyBorder="1"/>
    <xf numFmtId="4" fontId="2" fillId="0" borderId="64" xfId="0" applyNumberFormat="1" applyFont="1" applyFill="1" applyBorder="1"/>
    <xf numFmtId="4" fontId="2" fillId="0" borderId="42" xfId="0" applyNumberFormat="1" applyFont="1" applyFill="1" applyBorder="1"/>
    <xf numFmtId="4" fontId="2" fillId="0" borderId="55" xfId="0" applyNumberFormat="1" applyFont="1" applyFill="1" applyBorder="1"/>
    <xf numFmtId="0" fontId="2" fillId="0" borderId="39" xfId="0" applyFont="1" applyFill="1" applyBorder="1" applyAlignment="1">
      <alignment horizontal="right"/>
    </xf>
    <xf numFmtId="0" fontId="2" fillId="0" borderId="39" xfId="0" applyFont="1" applyFill="1" applyBorder="1"/>
    <xf numFmtId="49" fontId="2" fillId="0" borderId="37" xfId="0" applyNumberFormat="1" applyFont="1" applyFill="1" applyBorder="1"/>
    <xf numFmtId="0" fontId="1" fillId="0" borderId="39" xfId="0" applyFont="1" applyFill="1" applyBorder="1"/>
    <xf numFmtId="4" fontId="2" fillId="7" borderId="27" xfId="0" applyNumberFormat="1" applyFont="1" applyFill="1" applyBorder="1" applyAlignment="1"/>
    <xf numFmtId="4" fontId="2" fillId="7" borderId="26" xfId="0" applyNumberFormat="1" applyFont="1" applyFill="1" applyBorder="1" applyAlignment="1"/>
    <xf numFmtId="2" fontId="2" fillId="12" borderId="39" xfId="0" applyNumberFormat="1" applyFont="1" applyFill="1" applyBorder="1"/>
    <xf numFmtId="2" fontId="3" fillId="11" borderId="3" xfId="0" applyNumberFormat="1" applyFont="1" applyFill="1" applyBorder="1"/>
    <xf numFmtId="0" fontId="2" fillId="0" borderId="68" xfId="0" applyFont="1" applyBorder="1" applyAlignment="1">
      <alignment wrapText="1"/>
    </xf>
    <xf numFmtId="0" fontId="2" fillId="0" borderId="11" xfId="0" applyFont="1" applyBorder="1"/>
    <xf numFmtId="0" fontId="2" fillId="0" borderId="12" xfId="0" applyFont="1" applyBorder="1" applyAlignment="1">
      <alignment horizontal="right"/>
    </xf>
    <xf numFmtId="0" fontId="2" fillId="0" borderId="12" xfId="0" applyFont="1" applyBorder="1"/>
    <xf numFmtId="49" fontId="2" fillId="0" borderId="12" xfId="0" applyNumberFormat="1" applyFont="1" applyBorder="1" applyAlignment="1">
      <alignment horizontal="right"/>
    </xf>
    <xf numFmtId="4" fontId="2" fillId="0" borderId="25" xfId="0" applyNumberFormat="1" applyFont="1" applyBorder="1"/>
    <xf numFmtId="4" fontId="2" fillId="0" borderId="12" xfId="0" applyNumberFormat="1" applyFont="1" applyBorder="1"/>
    <xf numFmtId="4" fontId="2" fillId="12" borderId="12" xfId="0" applyNumberFormat="1" applyFont="1" applyFill="1" applyBorder="1"/>
    <xf numFmtId="0" fontId="2" fillId="0" borderId="26" xfId="0" applyFont="1" applyBorder="1"/>
    <xf numFmtId="4" fontId="2" fillId="12" borderId="37" xfId="0" applyNumberFormat="1" applyFont="1" applyFill="1" applyBorder="1"/>
    <xf numFmtId="4" fontId="2" fillId="18" borderId="3" xfId="0" applyNumberFormat="1" applyFont="1" applyFill="1" applyBorder="1"/>
    <xf numFmtId="0" fontId="2" fillId="0" borderId="32" xfId="0" applyFont="1" applyBorder="1"/>
    <xf numFmtId="4" fontId="2" fillId="0" borderId="33" xfId="0" applyNumberFormat="1" applyFont="1" applyBorder="1"/>
    <xf numFmtId="0" fontId="2" fillId="0" borderId="47" xfId="0" applyFont="1" applyBorder="1"/>
    <xf numFmtId="0" fontId="2" fillId="0" borderId="48" xfId="0" applyFont="1" applyBorder="1"/>
    <xf numFmtId="49" fontId="2" fillId="0" borderId="48" xfId="0" applyNumberFormat="1" applyFont="1" applyBorder="1" applyAlignment="1">
      <alignment horizontal="right"/>
    </xf>
    <xf numFmtId="4" fontId="2" fillId="0" borderId="48" xfId="0" applyNumberFormat="1" applyFont="1" applyBorder="1"/>
    <xf numFmtId="49" fontId="2" fillId="0" borderId="26" xfId="0" applyNumberFormat="1" applyFont="1" applyBorder="1" applyAlignment="1">
      <alignment horizontal="right"/>
    </xf>
    <xf numFmtId="4" fontId="2" fillId="0" borderId="54" xfId="0" applyNumberFormat="1" applyFont="1" applyBorder="1"/>
    <xf numFmtId="4" fontId="2" fillId="0" borderId="36" xfId="0" applyNumberFormat="1" applyFont="1" applyBorder="1"/>
    <xf numFmtId="4" fontId="2" fillId="0" borderId="60" xfId="0" applyNumberFormat="1" applyFont="1" applyBorder="1"/>
    <xf numFmtId="4" fontId="2" fillId="16" borderId="40" xfId="0" applyNumberFormat="1" applyFont="1" applyFill="1" applyBorder="1"/>
    <xf numFmtId="0" fontId="0" fillId="0" borderId="0" xfId="0" applyFill="1" applyBorder="1"/>
    <xf numFmtId="4" fontId="2" fillId="0" borderId="0" xfId="0" applyNumberFormat="1" applyFont="1" applyFill="1" applyBorder="1" applyAlignment="1"/>
    <xf numFmtId="0" fontId="0" fillId="0" borderId="0" xfId="0" applyFill="1" applyBorder="1" applyAlignment="1"/>
    <xf numFmtId="4" fontId="3" fillId="6" borderId="3" xfId="0" applyNumberFormat="1" applyFont="1" applyFill="1" applyBorder="1"/>
    <xf numFmtId="4" fontId="2" fillId="2" borderId="58" xfId="0" applyNumberFormat="1" applyFont="1" applyFill="1" applyBorder="1"/>
    <xf numFmtId="4" fontId="2" fillId="2" borderId="37" xfId="0" applyNumberFormat="1" applyFont="1" applyFill="1" applyBorder="1"/>
    <xf numFmtId="4" fontId="2" fillId="2" borderId="64" xfId="0" applyNumberFormat="1" applyFont="1" applyFill="1" applyBorder="1"/>
    <xf numFmtId="2" fontId="2" fillId="7" borderId="26" xfId="0" applyNumberFormat="1" applyFont="1" applyFill="1" applyBorder="1" applyAlignment="1">
      <alignment horizontal="right"/>
    </xf>
    <xf numFmtId="2" fontId="2" fillId="7" borderId="28" xfId="0" applyNumberFormat="1" applyFont="1" applyFill="1" applyBorder="1" applyAlignment="1">
      <alignment horizontal="right"/>
    </xf>
    <xf numFmtId="4" fontId="2" fillId="7" borderId="69" xfId="0" applyNumberFormat="1" applyFont="1" applyFill="1" applyBorder="1"/>
    <xf numFmtId="4" fontId="2" fillId="7" borderId="70" xfId="0" applyNumberFormat="1" applyFont="1" applyFill="1" applyBorder="1"/>
    <xf numFmtId="4" fontId="2" fillId="0" borderId="1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9" fillId="6" borderId="4" xfId="0" applyFont="1" applyFill="1" applyBorder="1" applyAlignment="1">
      <alignment horizontal="left" vertical="center"/>
    </xf>
    <xf numFmtId="0" fontId="9" fillId="6" borderId="5" xfId="0" applyFont="1" applyFill="1" applyBorder="1" applyAlignment="1">
      <alignment horizontal="left" vertical="center"/>
    </xf>
    <xf numFmtId="0" fontId="9" fillId="6" borderId="6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5" borderId="4" xfId="0" applyNumberFormat="1" applyFont="1" applyFill="1" applyBorder="1" applyAlignment="1">
      <alignment horizontal="center" vertical="center"/>
    </xf>
    <xf numFmtId="4" fontId="3" fillId="5" borderId="5" xfId="0" applyNumberFormat="1" applyFont="1" applyFill="1" applyBorder="1" applyAlignment="1">
      <alignment horizontal="center" vertical="center"/>
    </xf>
    <xf numFmtId="4" fontId="3" fillId="5" borderId="6" xfId="0" applyNumberFormat="1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4" fontId="3" fillId="5" borderId="19" xfId="0" applyNumberFormat="1" applyFont="1" applyFill="1" applyBorder="1" applyAlignment="1">
      <alignment horizontal="center" vertical="center"/>
    </xf>
    <xf numFmtId="4" fontId="3" fillId="5" borderId="22" xfId="0" applyNumberFormat="1" applyFont="1" applyFill="1" applyBorder="1" applyAlignment="1">
      <alignment horizontal="center" vertical="center"/>
    </xf>
    <xf numFmtId="4" fontId="3" fillId="5" borderId="25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" fontId="3" fillId="0" borderId="0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20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center" vertical="center" wrapText="1"/>
    </xf>
    <xf numFmtId="4" fontId="3" fillId="2" borderId="24" xfId="0" applyNumberFormat="1" applyFont="1" applyFill="1" applyBorder="1" applyAlignment="1">
      <alignment horizontal="center" vertical="center" wrapText="1"/>
    </xf>
    <xf numFmtId="4" fontId="3" fillId="2" borderId="21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9" fillId="6" borderId="6" xfId="0" applyFont="1" applyFill="1" applyBorder="1" applyAlignment="1">
      <alignment horizontal="left" vertical="top"/>
    </xf>
    <xf numFmtId="4" fontId="3" fillId="0" borderId="23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9" fillId="13" borderId="0" xfId="0" applyFont="1" applyFill="1" applyAlignment="1">
      <alignment horizontal="left"/>
    </xf>
    <xf numFmtId="0" fontId="3" fillId="0" borderId="23" xfId="0" applyFont="1" applyBorder="1" applyAlignment="1">
      <alignment horizontal="center"/>
    </xf>
    <xf numFmtId="0" fontId="4" fillId="13" borderId="4" xfId="0" applyFont="1" applyFill="1" applyBorder="1" applyAlignment="1">
      <alignment horizontal="center"/>
    </xf>
    <xf numFmtId="0" fontId="4" fillId="13" borderId="5" xfId="0" applyFont="1" applyFill="1" applyBorder="1" applyAlignment="1">
      <alignment horizontal="center"/>
    </xf>
    <xf numFmtId="49" fontId="13" fillId="13" borderId="4" xfId="0" applyNumberFormat="1" applyFont="1" applyFill="1" applyBorder="1" applyAlignment="1">
      <alignment horizontal="center"/>
    </xf>
    <xf numFmtId="49" fontId="4" fillId="13" borderId="5" xfId="0" applyNumberFormat="1" applyFont="1" applyFill="1" applyBorder="1" applyAlignment="1">
      <alignment horizontal="center"/>
    </xf>
    <xf numFmtId="49" fontId="4" fillId="13" borderId="6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13" borderId="4" xfId="0" applyFont="1" applyFill="1" applyBorder="1" applyAlignment="1">
      <alignment horizontal="left"/>
    </xf>
    <xf numFmtId="0" fontId="9" fillId="13" borderId="5" xfId="0" applyFont="1" applyFill="1" applyBorder="1" applyAlignment="1">
      <alignment horizontal="left"/>
    </xf>
    <xf numFmtId="0" fontId="9" fillId="13" borderId="22" xfId="0" applyFont="1" applyFill="1" applyBorder="1" applyAlignment="1">
      <alignment horizontal="left"/>
    </xf>
    <xf numFmtId="0" fontId="9" fillId="13" borderId="6" xfId="0" applyFont="1" applyFill="1" applyBorder="1" applyAlignment="1">
      <alignment horizontal="left"/>
    </xf>
    <xf numFmtId="0" fontId="4" fillId="8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13" fillId="13" borderId="4" xfId="0" applyFont="1" applyFill="1" applyBorder="1" applyAlignment="1">
      <alignment horizontal="left" vertical="center"/>
    </xf>
    <xf numFmtId="0" fontId="13" fillId="13" borderId="5" xfId="0" applyFont="1" applyFill="1" applyBorder="1" applyAlignment="1">
      <alignment horizontal="left" vertical="center"/>
    </xf>
    <xf numFmtId="0" fontId="13" fillId="13" borderId="6" xfId="0" applyFont="1" applyFill="1" applyBorder="1" applyAlignment="1">
      <alignment horizontal="left" vertical="center"/>
    </xf>
    <xf numFmtId="0" fontId="9" fillId="13" borderId="19" xfId="0" applyFont="1" applyFill="1" applyBorder="1" applyAlignment="1">
      <alignment horizontal="left"/>
    </xf>
    <xf numFmtId="0" fontId="9" fillId="13" borderId="25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left" vertical="center"/>
    </xf>
    <xf numFmtId="0" fontId="13" fillId="8" borderId="22" xfId="0" applyFont="1" applyFill="1" applyBorder="1" applyAlignment="1">
      <alignment horizontal="left" vertical="center"/>
    </xf>
    <xf numFmtId="0" fontId="13" fillId="8" borderId="25" xfId="0" applyFont="1" applyFill="1" applyBorder="1" applyAlignment="1">
      <alignment horizontal="left" vertical="center"/>
    </xf>
    <xf numFmtId="0" fontId="12" fillId="9" borderId="4" xfId="0" applyFont="1" applyFill="1" applyBorder="1" applyAlignment="1">
      <alignment horizontal="center"/>
    </xf>
    <xf numFmtId="0" fontId="12" fillId="9" borderId="5" xfId="0" applyFont="1" applyFill="1" applyBorder="1" applyAlignment="1">
      <alignment horizontal="center"/>
    </xf>
    <xf numFmtId="0" fontId="12" fillId="9" borderId="6" xfId="0" applyFont="1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5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/>
    </xf>
    <xf numFmtId="0" fontId="10" fillId="15" borderId="6" xfId="0" applyFont="1" applyFill="1" applyBorder="1" applyAlignment="1">
      <alignment horizontal="center"/>
    </xf>
    <xf numFmtId="0" fontId="4" fillId="14" borderId="6" xfId="0" applyFont="1" applyFill="1" applyBorder="1" applyAlignment="1">
      <alignment horizontal="center"/>
    </xf>
    <xf numFmtId="0" fontId="4" fillId="14" borderId="0" xfId="0" applyFont="1" applyFill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colors>
    <mruColors>
      <color rgb="FFFF2D2D"/>
      <color rgb="FFFF0101"/>
      <color rgb="FFFF6D6D"/>
      <color rgb="FFFF6969"/>
      <color rgb="FFDD6565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578302</xdr:colOff>
      <xdr:row>25</xdr:row>
      <xdr:rowOff>156482</xdr:rowOff>
    </xdr:from>
    <xdr:to>
      <xdr:col>2</xdr:col>
      <xdr:colOff>632733</xdr:colOff>
      <xdr:row>27</xdr:row>
      <xdr:rowOff>95250</xdr:rowOff>
    </xdr:to>
    <xdr:sp macro="" textlink="">
      <xdr:nvSpPr>
        <xdr:cNvPr id="2" name="BlokTextu 1"/>
        <xdr:cNvSpPr txBox="1"/>
      </xdr:nvSpPr>
      <xdr:spPr>
        <a:xfrm>
          <a:off x="578302" y="5456464"/>
          <a:ext cx="2667002" cy="3197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latin typeface="Times New Roman" panose="02020603050405020304" pitchFamily="18" charset="0"/>
              <a:cs typeface="Times New Roman" panose="02020603050405020304" pitchFamily="18" charset="0"/>
            </a:rPr>
            <a:t>V</a:t>
          </a:r>
          <a:r>
            <a:rPr lang="sk-S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Kráľovej nad Váhom, dňa 30.11.2022</a:t>
          </a:r>
          <a:endParaRPr lang="sk-S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142874</xdr:colOff>
      <xdr:row>25</xdr:row>
      <xdr:rowOff>163285</xdr:rowOff>
    </xdr:from>
    <xdr:to>
      <xdr:col>9</xdr:col>
      <xdr:colOff>374196</xdr:colOff>
      <xdr:row>28</xdr:row>
      <xdr:rowOff>68035</xdr:rowOff>
    </xdr:to>
    <xdr:sp macro="" textlink="">
      <xdr:nvSpPr>
        <xdr:cNvPr id="3" name="BlokTextu 2"/>
        <xdr:cNvSpPr txBox="1"/>
      </xdr:nvSpPr>
      <xdr:spPr>
        <a:xfrm>
          <a:off x="7218588" y="5463267"/>
          <a:ext cx="2462894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sk-S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Jaroslava Bergendiová</a:t>
          </a:r>
        </a:p>
        <a:p>
          <a:pPr algn="ctr"/>
          <a:r>
            <a:rPr lang="sk-SK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starostka obce</a:t>
          </a:r>
          <a:endParaRPr lang="sk-SK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opLeftCell="A5" zoomScale="140" zoomScaleNormal="140" workbookViewId="0">
      <selection activeCell="B2" sqref="B2:I28"/>
    </sheetView>
  </sheetViews>
  <sheetFormatPr defaultRowHeight="15" x14ac:dyDescent="0.25"/>
  <cols>
    <col min="2" max="2" width="30" customWidth="1"/>
    <col min="3" max="9" width="16.7109375" customWidth="1"/>
  </cols>
  <sheetData>
    <row r="1" spans="2:10" ht="15.75" thickBot="1" x14ac:dyDescent="0.3"/>
    <row r="2" spans="2:10" ht="16.5" thickBot="1" x14ac:dyDescent="0.3">
      <c r="B2" s="388" t="s">
        <v>1</v>
      </c>
      <c r="C2" s="389"/>
      <c r="D2" s="389"/>
      <c r="E2" s="389"/>
      <c r="F2" s="389"/>
      <c r="G2" s="389"/>
      <c r="H2" s="389"/>
      <c r="I2" s="390"/>
    </row>
    <row r="3" spans="2:10" ht="16.5" thickBot="1" x14ac:dyDescent="0.3">
      <c r="B3" s="388" t="s">
        <v>2</v>
      </c>
      <c r="C3" s="389"/>
      <c r="D3" s="389"/>
      <c r="E3" s="389"/>
      <c r="F3" s="389"/>
      <c r="G3" s="389"/>
      <c r="H3" s="389"/>
      <c r="I3" s="390"/>
    </row>
    <row r="4" spans="2:10" ht="32.25" thickBot="1" x14ac:dyDescent="0.3">
      <c r="B4" s="3"/>
      <c r="C4" s="22" t="s">
        <v>318</v>
      </c>
      <c r="D4" s="22" t="s">
        <v>319</v>
      </c>
      <c r="E4" s="22" t="s">
        <v>368</v>
      </c>
      <c r="F4" s="22" t="s">
        <v>320</v>
      </c>
      <c r="G4" s="60" t="s">
        <v>18</v>
      </c>
      <c r="H4" s="22" t="s">
        <v>0</v>
      </c>
      <c r="I4" s="22" t="s">
        <v>294</v>
      </c>
      <c r="J4" s="2"/>
    </row>
    <row r="5" spans="2:10" ht="15.75" x14ac:dyDescent="0.25">
      <c r="B5" s="4" t="s">
        <v>3</v>
      </c>
      <c r="C5" s="7">
        <v>1025688.05</v>
      </c>
      <c r="D5" s="7">
        <f>'Bežné príjmy '!H39</f>
        <v>1134820.24</v>
      </c>
      <c r="E5" s="7">
        <f>'Bežné príjmy '!I39</f>
        <v>1073338</v>
      </c>
      <c r="F5" s="7">
        <f>'Bežné príjmy '!J39</f>
        <v>1060295.58</v>
      </c>
      <c r="G5" s="8">
        <f>'Bežné príjmy '!K39</f>
        <v>1165771</v>
      </c>
      <c r="H5" s="61">
        <f>'Bežné príjmy '!L39</f>
        <v>1189135</v>
      </c>
      <c r="I5" s="387">
        <f>'Bežné príjmy '!M39</f>
        <v>1265311</v>
      </c>
    </row>
    <row r="6" spans="2:10" ht="15.75" x14ac:dyDescent="0.25">
      <c r="B6" s="4" t="s">
        <v>4</v>
      </c>
      <c r="C6" s="7">
        <v>896799.82</v>
      </c>
      <c r="D6" s="7">
        <f>'Bežné výdavky'!J552</f>
        <v>955375.13</v>
      </c>
      <c r="E6" s="7">
        <f>'Bežné výdavky'!K552</f>
        <v>950134</v>
      </c>
      <c r="F6" s="7">
        <f>'Bežné výdavky'!L552</f>
        <v>942879.9040000001</v>
      </c>
      <c r="G6" s="87">
        <f>'Bežné výdavky'!S552</f>
        <v>1120007.9875</v>
      </c>
      <c r="H6" s="61">
        <f>'Bežné výdavky'!T552</f>
        <v>1117903</v>
      </c>
      <c r="I6" s="387">
        <f>'Bežné výdavky'!U552</f>
        <v>1116023</v>
      </c>
    </row>
    <row r="7" spans="2:10" ht="16.5" thickBot="1" x14ac:dyDescent="0.3">
      <c r="B7" s="4" t="s">
        <v>5</v>
      </c>
      <c r="C7" s="7">
        <f>C5-C6</f>
        <v>128888.2300000001</v>
      </c>
      <c r="D7" s="7">
        <f t="shared" ref="D7:E7" si="0">D5-D6</f>
        <v>179445.11</v>
      </c>
      <c r="E7" s="7">
        <f t="shared" si="0"/>
        <v>123204</v>
      </c>
      <c r="F7" s="7">
        <f>F5-F6</f>
        <v>117415.67599999998</v>
      </c>
      <c r="G7" s="126">
        <f>G5-G6</f>
        <v>45763.012499999953</v>
      </c>
      <c r="H7" s="7">
        <f>H5-H6</f>
        <v>71232</v>
      </c>
      <c r="I7" s="9">
        <f>I5-I6</f>
        <v>149288</v>
      </c>
    </row>
    <row r="8" spans="2:10" ht="16.5" thickBot="1" x14ac:dyDescent="0.3">
      <c r="B8" s="5"/>
      <c r="C8" s="10"/>
      <c r="D8" s="10"/>
      <c r="E8" s="10"/>
      <c r="F8" s="10"/>
      <c r="G8" s="62"/>
      <c r="H8" s="10"/>
      <c r="I8" s="11"/>
    </row>
    <row r="9" spans="2:10" ht="15.75" x14ac:dyDescent="0.25">
      <c r="B9" s="4" t="s">
        <v>6</v>
      </c>
      <c r="C9" s="7">
        <f>'Kapitálový rozpočet'!F14</f>
        <v>0</v>
      </c>
      <c r="D9" s="7">
        <f>'Kapitálový rozpočet'!G14</f>
        <v>636</v>
      </c>
      <c r="E9" s="7">
        <f>'Kapitálový rozpočet'!H14</f>
        <v>1500</v>
      </c>
      <c r="F9" s="7">
        <f>'Kapitálový rozpočet'!I14</f>
        <v>14467.78</v>
      </c>
      <c r="G9" s="121">
        <f>'Kapitálový rozpočet'!J14</f>
        <v>222228.63999999998</v>
      </c>
      <c r="H9" s="7">
        <f>'Kapitálový rozpočet'!K14</f>
        <v>37537</v>
      </c>
      <c r="I9" s="9">
        <f>'Kapitálový rozpočet'!L14</f>
        <v>0</v>
      </c>
    </row>
    <row r="10" spans="2:10" ht="15.75" x14ac:dyDescent="0.25">
      <c r="B10" s="4" t="s">
        <v>7</v>
      </c>
      <c r="C10" s="7">
        <f>'Kapitálový rozpočet'!F79</f>
        <v>88910.099999999991</v>
      </c>
      <c r="D10" s="7">
        <f>'Kapitálový rozpočet'!G79</f>
        <v>20469.66</v>
      </c>
      <c r="E10" s="7">
        <f>'Kapitálový rozpočet'!H79</f>
        <v>160895</v>
      </c>
      <c r="F10" s="7">
        <f>'Kapitálový rozpočet'!I79</f>
        <v>20000</v>
      </c>
      <c r="G10" s="122">
        <f>'Kapitálový rozpočet'!J79</f>
        <v>412799.33999999997</v>
      </c>
      <c r="H10" s="7">
        <f>'Kapitálový rozpočet'!K79</f>
        <v>0</v>
      </c>
      <c r="I10" s="9">
        <f>'Kapitálový rozpočet'!L79</f>
        <v>0</v>
      </c>
    </row>
    <row r="11" spans="2:10" ht="16.5" thickBot="1" x14ac:dyDescent="0.3">
      <c r="B11" s="4" t="s">
        <v>8</v>
      </c>
      <c r="C11" s="7">
        <f>C9-C10</f>
        <v>-88910.099999999991</v>
      </c>
      <c r="D11" s="7">
        <f t="shared" ref="D11:I11" si="1">D9-D10</f>
        <v>-19833.66</v>
      </c>
      <c r="E11" s="7">
        <f>E9-E10</f>
        <v>-159395</v>
      </c>
      <c r="F11" s="7">
        <f t="shared" si="1"/>
        <v>-5532.2199999999993</v>
      </c>
      <c r="G11" s="126">
        <f>G9-G10</f>
        <v>-190570.69999999998</v>
      </c>
      <c r="H11" s="7">
        <f t="shared" si="1"/>
        <v>37537</v>
      </c>
      <c r="I11" s="9">
        <f t="shared" si="1"/>
        <v>0</v>
      </c>
    </row>
    <row r="12" spans="2:10" ht="16.5" thickBot="1" x14ac:dyDescent="0.3">
      <c r="B12" s="5"/>
      <c r="C12" s="10"/>
      <c r="D12" s="10"/>
      <c r="E12" s="10"/>
      <c r="F12" s="10"/>
      <c r="G12" s="62"/>
      <c r="H12" s="10"/>
      <c r="I12" s="11"/>
    </row>
    <row r="13" spans="2:10" ht="15.75" x14ac:dyDescent="0.25">
      <c r="B13" s="4" t="s">
        <v>9</v>
      </c>
      <c r="C13" s="7">
        <f>'Finančné operácie '!F9</f>
        <v>29614</v>
      </c>
      <c r="D13" s="7">
        <f>'Finančné operácie '!G9</f>
        <v>0</v>
      </c>
      <c r="E13" s="7">
        <f>'Finančné operácie '!H9</f>
        <v>85191</v>
      </c>
      <c r="F13" s="7">
        <f>'Finančné operácie '!I9</f>
        <v>0</v>
      </c>
      <c r="G13" s="137">
        <f>'Finančné operácie '!J9</f>
        <v>239570.7</v>
      </c>
      <c r="H13" s="7">
        <f>'Finančné operácie '!K9</f>
        <v>56403</v>
      </c>
      <c r="I13" s="9">
        <f>'Finančné operácie '!L9</f>
        <v>56403</v>
      </c>
    </row>
    <row r="14" spans="2:10" ht="15.75" x14ac:dyDescent="0.25">
      <c r="B14" s="4" t="s">
        <v>10</v>
      </c>
      <c r="C14" s="7">
        <f>'Finančné operácie '!F16</f>
        <v>48478.46</v>
      </c>
      <c r="D14" s="7">
        <f>'Finančné operácie '!G16</f>
        <v>48886.43</v>
      </c>
      <c r="E14" s="7">
        <f>'Finančné operácie '!H16</f>
        <v>49000</v>
      </c>
      <c r="F14" s="7">
        <f>'Finančné operácie '!I16</f>
        <v>36911.65</v>
      </c>
      <c r="G14" s="138">
        <f>'Finančné operácie '!J16</f>
        <v>49000</v>
      </c>
      <c r="H14" s="7">
        <f>'Finančné operácie '!K16</f>
        <v>56403</v>
      </c>
      <c r="I14" s="9">
        <f>'Finančné operácie '!L16</f>
        <v>56403</v>
      </c>
    </row>
    <row r="15" spans="2:10" ht="16.5" thickBot="1" x14ac:dyDescent="0.3">
      <c r="B15" s="4" t="s">
        <v>11</v>
      </c>
      <c r="C15" s="7">
        <f>C13-C14</f>
        <v>-18864.46</v>
      </c>
      <c r="D15" s="7">
        <f>D13-D14</f>
        <v>-48886.43</v>
      </c>
      <c r="E15" s="7">
        <f>E13-E14</f>
        <v>36191</v>
      </c>
      <c r="F15" s="7">
        <f>F13-F14</f>
        <v>-36911.65</v>
      </c>
      <c r="G15" s="7">
        <f>G13-G14</f>
        <v>190570.7</v>
      </c>
      <c r="H15" s="7">
        <f t="shared" ref="H15:I15" si="2">H13-H14</f>
        <v>0</v>
      </c>
      <c r="I15" s="9">
        <f t="shared" si="2"/>
        <v>0</v>
      </c>
    </row>
    <row r="16" spans="2:10" ht="16.5" thickBot="1" x14ac:dyDescent="0.3">
      <c r="B16" s="5"/>
      <c r="C16" s="10"/>
      <c r="D16" s="10"/>
      <c r="E16" s="10"/>
      <c r="F16" s="10"/>
      <c r="G16" s="62"/>
      <c r="H16" s="10"/>
      <c r="I16" s="11"/>
    </row>
    <row r="17" spans="2:10" ht="16.5" thickBot="1" x14ac:dyDescent="0.3">
      <c r="B17" s="3" t="s">
        <v>12</v>
      </c>
      <c r="C17" s="23">
        <f>C7+C11+C15</f>
        <v>21113.670000000107</v>
      </c>
      <c r="D17" s="23">
        <f t="shared" ref="D17:G17" si="3">D7+D11+D15</f>
        <v>110725.01999999999</v>
      </c>
      <c r="E17" s="23">
        <f t="shared" si="3"/>
        <v>0</v>
      </c>
      <c r="F17" s="23">
        <f t="shared" si="3"/>
        <v>74971.805999999982</v>
      </c>
      <c r="G17" s="23">
        <f t="shared" si="3"/>
        <v>45763.012499999983</v>
      </c>
      <c r="H17" s="23">
        <f>H7+H11+H15</f>
        <v>108769</v>
      </c>
      <c r="I17" s="23">
        <f>I7+I11+I15</f>
        <v>149288</v>
      </c>
    </row>
    <row r="18" spans="2:10" ht="15.75" x14ac:dyDescent="0.25">
      <c r="B18" s="4"/>
      <c r="C18" s="12"/>
      <c r="D18" s="12"/>
      <c r="E18" s="12"/>
      <c r="F18" s="12"/>
      <c r="G18" s="63"/>
      <c r="H18" s="12"/>
      <c r="I18" s="13"/>
    </row>
    <row r="19" spans="2:10" ht="15.75" x14ac:dyDescent="0.25">
      <c r="B19" s="4" t="s">
        <v>13</v>
      </c>
      <c r="C19" s="7">
        <f t="shared" ref="C19:E20" si="4">C5+C9+C13</f>
        <v>1055302.05</v>
      </c>
      <c r="D19" s="7">
        <f t="shared" si="4"/>
        <v>1135456.24</v>
      </c>
      <c r="E19" s="7">
        <f t="shared" si="4"/>
        <v>1160029</v>
      </c>
      <c r="F19" s="7">
        <f t="shared" ref="F19:I20" si="5">F5+F9+F13</f>
        <v>1074763.3600000001</v>
      </c>
      <c r="G19" s="7">
        <f>G5+G9+G13</f>
        <v>1627570.3399999999</v>
      </c>
      <c r="H19" s="7">
        <f t="shared" si="5"/>
        <v>1283075</v>
      </c>
      <c r="I19" s="9">
        <f t="shared" si="5"/>
        <v>1321714</v>
      </c>
    </row>
    <row r="20" spans="2:10" ht="16.5" thickBot="1" x14ac:dyDescent="0.3">
      <c r="B20" s="4" t="s">
        <v>14</v>
      </c>
      <c r="C20" s="7">
        <f t="shared" si="4"/>
        <v>1034188.3799999999</v>
      </c>
      <c r="D20" s="7">
        <f t="shared" si="4"/>
        <v>1024731.2200000001</v>
      </c>
      <c r="E20" s="7">
        <f t="shared" si="4"/>
        <v>1160029</v>
      </c>
      <c r="F20" s="7">
        <f t="shared" si="5"/>
        <v>999791.55400000012</v>
      </c>
      <c r="G20" s="7">
        <f t="shared" si="5"/>
        <v>1581807.3275000001</v>
      </c>
      <c r="H20" s="7">
        <f t="shared" si="5"/>
        <v>1174306</v>
      </c>
      <c r="I20" s="9">
        <f t="shared" si="5"/>
        <v>1172426</v>
      </c>
    </row>
    <row r="21" spans="2:10" ht="16.5" thickBot="1" x14ac:dyDescent="0.3">
      <c r="B21" s="5"/>
      <c r="C21" s="10"/>
      <c r="D21" s="10"/>
      <c r="E21" s="10"/>
      <c r="F21" s="10"/>
      <c r="G21" s="62"/>
      <c r="H21" s="10"/>
      <c r="I21" s="11"/>
    </row>
    <row r="22" spans="2:10" ht="15.75" x14ac:dyDescent="0.25">
      <c r="B22" s="4" t="s">
        <v>15</v>
      </c>
      <c r="C22" s="14">
        <f>C5+C9</f>
        <v>1025688.05</v>
      </c>
      <c r="D22" s="7">
        <f>D5+D9</f>
        <v>1135456.24</v>
      </c>
      <c r="E22" s="7">
        <f>E5+E9</f>
        <v>1074838</v>
      </c>
      <c r="F22" s="15">
        <f t="shared" ref="F22:I22" si="6">F5+F9</f>
        <v>1074763.3600000001</v>
      </c>
      <c r="G22" s="61">
        <f t="shared" si="6"/>
        <v>1387999.64</v>
      </c>
      <c r="H22" s="16">
        <f t="shared" si="6"/>
        <v>1226672</v>
      </c>
      <c r="I22" s="9">
        <f t="shared" si="6"/>
        <v>1265311</v>
      </c>
    </row>
    <row r="23" spans="2:10" ht="15.75" x14ac:dyDescent="0.25">
      <c r="B23" s="4" t="s">
        <v>16</v>
      </c>
      <c r="C23" s="14">
        <f>C6+C10</f>
        <v>985709.91999999993</v>
      </c>
      <c r="D23" s="7">
        <f t="shared" ref="D23:I23" si="7">D6+D10</f>
        <v>975844.79</v>
      </c>
      <c r="E23" s="15">
        <f t="shared" si="7"/>
        <v>1111029</v>
      </c>
      <c r="F23" s="15">
        <f t="shared" si="7"/>
        <v>962879.9040000001</v>
      </c>
      <c r="G23" s="61">
        <f t="shared" si="7"/>
        <v>1532807.3275000001</v>
      </c>
      <c r="H23" s="16">
        <f t="shared" si="7"/>
        <v>1117903</v>
      </c>
      <c r="I23" s="9">
        <f t="shared" si="7"/>
        <v>1116023</v>
      </c>
    </row>
    <row r="24" spans="2:10" ht="16.5" thickBot="1" x14ac:dyDescent="0.3">
      <c r="B24" s="6" t="s">
        <v>17</v>
      </c>
      <c r="C24" s="17">
        <f>C22-C23</f>
        <v>39978.130000000121</v>
      </c>
      <c r="D24" s="18">
        <f t="shared" ref="D24:I24" si="8">D22-D23</f>
        <v>159611.44999999995</v>
      </c>
      <c r="E24" s="18">
        <f t="shared" si="8"/>
        <v>-36191</v>
      </c>
      <c r="F24" s="19">
        <f t="shared" si="8"/>
        <v>111883.45600000001</v>
      </c>
      <c r="G24" s="64">
        <f t="shared" si="8"/>
        <v>-144807.68750000023</v>
      </c>
      <c r="H24" s="20">
        <f t="shared" si="8"/>
        <v>108769</v>
      </c>
      <c r="I24" s="21">
        <f t="shared" si="8"/>
        <v>149288</v>
      </c>
    </row>
    <row r="26" spans="2:10" x14ac:dyDescent="0.25">
      <c r="B26" s="335"/>
      <c r="C26" s="335"/>
      <c r="D26" s="335"/>
      <c r="E26" s="335"/>
      <c r="F26" s="335"/>
      <c r="G26" s="335"/>
      <c r="H26" s="335"/>
      <c r="I26" s="335"/>
      <c r="J26" s="335"/>
    </row>
    <row r="27" spans="2:10" x14ac:dyDescent="0.25">
      <c r="B27" s="335"/>
      <c r="C27" s="335"/>
      <c r="D27" s="335"/>
      <c r="E27" s="335"/>
      <c r="F27" s="335"/>
      <c r="G27" s="335"/>
      <c r="H27" s="335"/>
      <c r="I27" s="335"/>
      <c r="J27" s="335"/>
    </row>
    <row r="28" spans="2:10" x14ac:dyDescent="0.25">
      <c r="B28" s="335"/>
      <c r="C28" s="335"/>
      <c r="D28" s="335"/>
      <c r="E28" s="335"/>
      <c r="F28" s="335"/>
      <c r="G28" s="335"/>
      <c r="H28" s="335"/>
      <c r="I28" s="335"/>
      <c r="J28" s="335"/>
    </row>
    <row r="29" spans="2:10" x14ac:dyDescent="0.25">
      <c r="B29" s="335"/>
      <c r="C29" s="335"/>
      <c r="D29" s="335"/>
      <c r="E29" s="335"/>
      <c r="F29" s="335"/>
      <c r="G29" s="335"/>
      <c r="H29" s="335"/>
      <c r="I29" s="335"/>
      <c r="J29" s="335"/>
    </row>
  </sheetData>
  <mergeCells count="2">
    <mergeCell ref="B2:I2"/>
    <mergeCell ref="B3:I3"/>
  </mergeCells>
  <pageMargins left="0.7" right="0.7" top="0.75" bottom="0.75" header="0.3" footer="0.3"/>
  <pageSetup paperSize="9"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R39"/>
  <sheetViews>
    <sheetView topLeftCell="F17" zoomScale="140" zoomScaleNormal="140" workbookViewId="0">
      <selection activeCell="B2" sqref="B2:M40"/>
    </sheetView>
  </sheetViews>
  <sheetFormatPr defaultRowHeight="15" x14ac:dyDescent="0.25"/>
  <cols>
    <col min="2" max="2" width="6.42578125" customWidth="1"/>
    <col min="3" max="3" width="8.85546875" customWidth="1"/>
    <col min="4" max="4" width="11.7109375" customWidth="1"/>
    <col min="5" max="5" width="48" customWidth="1"/>
    <col min="6" max="9" width="15.7109375" style="29" customWidth="1"/>
    <col min="10" max="10" width="19.28515625" style="29" customWidth="1"/>
    <col min="11" max="13" width="15.7109375" style="29" customWidth="1"/>
  </cols>
  <sheetData>
    <row r="1" spans="1:18" ht="15.75" thickBot="1" x14ac:dyDescent="0.3">
      <c r="O1" s="119"/>
      <c r="P1" s="119"/>
      <c r="Q1" s="119"/>
      <c r="R1" s="119"/>
    </row>
    <row r="2" spans="1:18" ht="19.5" thickBot="1" x14ac:dyDescent="0.35">
      <c r="B2" s="391" t="s">
        <v>19</v>
      </c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3"/>
      <c r="O2" s="119"/>
      <c r="P2" s="119"/>
      <c r="Q2" s="119"/>
      <c r="R2" s="119"/>
    </row>
    <row r="3" spans="1:18" ht="19.5" thickBot="1" x14ac:dyDescent="0.35">
      <c r="A3" s="37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37"/>
      <c r="O3" s="119"/>
      <c r="P3" s="119"/>
      <c r="Q3" s="119"/>
      <c r="R3" s="119"/>
    </row>
    <row r="4" spans="1:18" ht="48" thickBot="1" x14ac:dyDescent="0.3">
      <c r="B4" s="25" t="s">
        <v>23</v>
      </c>
      <c r="C4" s="25" t="s">
        <v>24</v>
      </c>
      <c r="D4" s="25" t="s">
        <v>25</v>
      </c>
      <c r="E4" s="26" t="s">
        <v>22</v>
      </c>
      <c r="F4" s="282" t="s">
        <v>21</v>
      </c>
      <c r="G4" s="282" t="s">
        <v>20</v>
      </c>
      <c r="H4" s="282" t="s">
        <v>291</v>
      </c>
      <c r="I4" s="304" t="s">
        <v>293</v>
      </c>
      <c r="J4" s="282" t="s">
        <v>364</v>
      </c>
      <c r="K4" s="305" t="s">
        <v>292</v>
      </c>
      <c r="L4" s="282" t="s">
        <v>0</v>
      </c>
      <c r="M4" s="306" t="s">
        <v>294</v>
      </c>
      <c r="N4" s="1"/>
      <c r="O4" s="119"/>
      <c r="P4" s="119"/>
      <c r="Q4" s="119"/>
      <c r="R4" s="119"/>
    </row>
    <row r="5" spans="1:18" ht="15.75" x14ac:dyDescent="0.25">
      <c r="B5" s="148">
        <v>41</v>
      </c>
      <c r="C5" s="145">
        <v>111</v>
      </c>
      <c r="D5" s="151" t="s">
        <v>29</v>
      </c>
      <c r="E5" s="157" t="s">
        <v>41</v>
      </c>
      <c r="F5" s="160">
        <v>537116</v>
      </c>
      <c r="G5" s="160">
        <v>536731.76</v>
      </c>
      <c r="H5" s="160">
        <v>545730.06999999995</v>
      </c>
      <c r="I5" s="163">
        <v>574311</v>
      </c>
      <c r="J5" s="160">
        <v>597772</v>
      </c>
      <c r="K5" s="326">
        <v>621827</v>
      </c>
      <c r="L5" s="298">
        <v>649402</v>
      </c>
      <c r="M5" s="154">
        <v>724868</v>
      </c>
    </row>
    <row r="6" spans="1:18" ht="15.75" x14ac:dyDescent="0.25">
      <c r="B6" s="149">
        <v>41</v>
      </c>
      <c r="C6" s="146">
        <v>121</v>
      </c>
      <c r="D6" s="152" t="s">
        <v>30</v>
      </c>
      <c r="E6" s="158" t="s">
        <v>42</v>
      </c>
      <c r="F6" s="161">
        <v>41452</v>
      </c>
      <c r="G6" s="161">
        <v>41419.25</v>
      </c>
      <c r="H6" s="161">
        <v>42320.02</v>
      </c>
      <c r="I6" s="164">
        <v>43000</v>
      </c>
      <c r="J6" s="161">
        <v>41088.15</v>
      </c>
      <c r="K6" s="327">
        <v>50123</v>
      </c>
      <c r="L6" s="297">
        <v>50123</v>
      </c>
      <c r="M6" s="155">
        <v>50123</v>
      </c>
    </row>
    <row r="7" spans="1:18" ht="15.75" x14ac:dyDescent="0.25">
      <c r="B7" s="149">
        <v>41</v>
      </c>
      <c r="C7" s="146">
        <v>121</v>
      </c>
      <c r="D7" s="152" t="s">
        <v>31</v>
      </c>
      <c r="E7" s="158" t="s">
        <v>43</v>
      </c>
      <c r="F7" s="161">
        <v>34820.76</v>
      </c>
      <c r="G7" s="161">
        <v>32708.81</v>
      </c>
      <c r="H7" s="161">
        <v>33293.29</v>
      </c>
      <c r="I7" s="164">
        <v>35000</v>
      </c>
      <c r="J7" s="161">
        <v>38012.160000000003</v>
      </c>
      <c r="K7" s="327">
        <v>45351</v>
      </c>
      <c r="L7" s="297">
        <v>45351</v>
      </c>
      <c r="M7" s="155">
        <v>45351</v>
      </c>
    </row>
    <row r="8" spans="1:18" ht="15.75" x14ac:dyDescent="0.25">
      <c r="B8" s="149">
        <v>41</v>
      </c>
      <c r="C8" s="146">
        <v>121</v>
      </c>
      <c r="D8" s="152" t="s">
        <v>29</v>
      </c>
      <c r="E8" s="168" t="s">
        <v>399</v>
      </c>
      <c r="F8" s="161">
        <v>52.18</v>
      </c>
      <c r="G8" s="161">
        <v>75.41</v>
      </c>
      <c r="H8" s="161">
        <v>83.91</v>
      </c>
      <c r="I8" s="164">
        <v>90</v>
      </c>
      <c r="J8" s="161">
        <v>72.52</v>
      </c>
      <c r="K8" s="327">
        <v>136</v>
      </c>
      <c r="L8" s="297">
        <v>136</v>
      </c>
      <c r="M8" s="155">
        <v>136</v>
      </c>
    </row>
    <row r="9" spans="1:18" ht="15.75" x14ac:dyDescent="0.25">
      <c r="B9" s="149">
        <v>41</v>
      </c>
      <c r="C9" s="146">
        <v>133</v>
      </c>
      <c r="D9" s="152" t="s">
        <v>30</v>
      </c>
      <c r="E9" s="158" t="s">
        <v>44</v>
      </c>
      <c r="F9" s="161">
        <v>1168</v>
      </c>
      <c r="G9" s="161">
        <v>1221.8499999999999</v>
      </c>
      <c r="H9" s="161">
        <v>1204</v>
      </c>
      <c r="I9" s="164">
        <v>1200</v>
      </c>
      <c r="J9" s="161">
        <v>1075</v>
      </c>
      <c r="K9" s="327">
        <v>1800</v>
      </c>
      <c r="L9" s="297">
        <v>1800</v>
      </c>
      <c r="M9" s="155">
        <v>1800</v>
      </c>
    </row>
    <row r="10" spans="1:18" ht="15.75" x14ac:dyDescent="0.25">
      <c r="B10" s="149">
        <v>41</v>
      </c>
      <c r="C10" s="146">
        <v>133</v>
      </c>
      <c r="D10" s="152" t="s">
        <v>29</v>
      </c>
      <c r="E10" s="158" t="s">
        <v>297</v>
      </c>
      <c r="F10" s="161">
        <v>0</v>
      </c>
      <c r="G10" s="161">
        <v>0</v>
      </c>
      <c r="H10" s="161">
        <v>0</v>
      </c>
      <c r="I10" s="164">
        <v>0</v>
      </c>
      <c r="J10" s="161">
        <v>0</v>
      </c>
      <c r="K10" s="327">
        <v>0</v>
      </c>
      <c r="L10" s="297">
        <v>0</v>
      </c>
      <c r="M10" s="155">
        <v>0</v>
      </c>
    </row>
    <row r="11" spans="1:18" ht="15.75" x14ac:dyDescent="0.25">
      <c r="B11" s="149">
        <v>41</v>
      </c>
      <c r="C11" s="146">
        <v>133</v>
      </c>
      <c r="D11" s="152" t="s">
        <v>32</v>
      </c>
      <c r="E11" s="158" t="s">
        <v>45</v>
      </c>
      <c r="F11" s="161">
        <v>150</v>
      </c>
      <c r="G11" s="161">
        <v>0</v>
      </c>
      <c r="H11" s="161">
        <v>0</v>
      </c>
      <c r="I11" s="164">
        <v>200</v>
      </c>
      <c r="J11" s="161">
        <v>0</v>
      </c>
      <c r="K11" s="327">
        <v>100</v>
      </c>
      <c r="L11" s="297">
        <v>100</v>
      </c>
      <c r="M11" s="155">
        <v>100</v>
      </c>
    </row>
    <row r="12" spans="1:18" ht="15.75" x14ac:dyDescent="0.25">
      <c r="B12" s="149">
        <v>41</v>
      </c>
      <c r="C12" s="146">
        <v>133</v>
      </c>
      <c r="D12" s="152" t="s">
        <v>33</v>
      </c>
      <c r="E12" s="158" t="s">
        <v>46</v>
      </c>
      <c r="F12" s="161">
        <v>44189.02</v>
      </c>
      <c r="G12" s="161">
        <v>43542.16</v>
      </c>
      <c r="H12" s="161">
        <v>53045.47</v>
      </c>
      <c r="I12" s="164">
        <v>59000</v>
      </c>
      <c r="J12" s="161">
        <v>54985.65</v>
      </c>
      <c r="K12" s="327">
        <v>61400</v>
      </c>
      <c r="L12" s="297">
        <v>61400</v>
      </c>
      <c r="M12" s="155">
        <v>61800</v>
      </c>
    </row>
    <row r="13" spans="1:18" ht="15.75" x14ac:dyDescent="0.25">
      <c r="B13" s="149">
        <v>41</v>
      </c>
      <c r="C13" s="146">
        <v>212</v>
      </c>
      <c r="D13" s="152" t="s">
        <v>31</v>
      </c>
      <c r="E13" s="158" t="s">
        <v>47</v>
      </c>
      <c r="F13" s="161">
        <v>772.87</v>
      </c>
      <c r="G13" s="161">
        <v>2502.63</v>
      </c>
      <c r="H13" s="161">
        <v>2125.8200000000002</v>
      </c>
      <c r="I13" s="164">
        <v>3000</v>
      </c>
      <c r="J13" s="161">
        <v>1391.1</v>
      </c>
      <c r="K13" s="327">
        <v>3500</v>
      </c>
      <c r="L13" s="297">
        <v>3500</v>
      </c>
      <c r="M13" s="155">
        <v>3500</v>
      </c>
    </row>
    <row r="14" spans="1:18" ht="15.75" x14ac:dyDescent="0.25">
      <c r="B14" s="149">
        <v>41</v>
      </c>
      <c r="C14" s="146">
        <v>212</v>
      </c>
      <c r="D14" s="152" t="s">
        <v>29</v>
      </c>
      <c r="E14" s="158" t="s">
        <v>48</v>
      </c>
      <c r="F14" s="161">
        <v>64039.199999999997</v>
      </c>
      <c r="G14" s="161">
        <v>69884.78</v>
      </c>
      <c r="H14" s="161">
        <v>67974.67</v>
      </c>
      <c r="I14" s="164">
        <v>69000</v>
      </c>
      <c r="J14" s="161">
        <v>65077.57</v>
      </c>
      <c r="K14" s="327">
        <f>80100</f>
        <v>80100</v>
      </c>
      <c r="L14" s="297">
        <v>80100</v>
      </c>
      <c r="M14" s="155">
        <v>80300</v>
      </c>
    </row>
    <row r="15" spans="1:18" ht="15.75" x14ac:dyDescent="0.25">
      <c r="B15" s="149">
        <v>41</v>
      </c>
      <c r="C15" s="146">
        <v>221</v>
      </c>
      <c r="D15" s="152" t="s">
        <v>31</v>
      </c>
      <c r="E15" s="158" t="s">
        <v>361</v>
      </c>
      <c r="F15" s="161">
        <v>0</v>
      </c>
      <c r="G15" s="161">
        <v>0</v>
      </c>
      <c r="H15" s="161">
        <v>0</v>
      </c>
      <c r="I15" s="164">
        <v>0</v>
      </c>
      <c r="J15" s="161">
        <v>6368.92</v>
      </c>
      <c r="K15" s="327">
        <v>7000</v>
      </c>
      <c r="L15" s="297">
        <v>6000</v>
      </c>
      <c r="M15" s="155">
        <v>6000</v>
      </c>
    </row>
    <row r="16" spans="1:18" ht="15.75" x14ac:dyDescent="0.25">
      <c r="B16" s="149">
        <v>41</v>
      </c>
      <c r="C16" s="146">
        <v>221</v>
      </c>
      <c r="D16" s="152" t="s">
        <v>34</v>
      </c>
      <c r="E16" s="158" t="s">
        <v>49</v>
      </c>
      <c r="F16" s="161">
        <v>8976.67</v>
      </c>
      <c r="G16" s="161">
        <v>7517.5</v>
      </c>
      <c r="H16" s="161">
        <v>7157</v>
      </c>
      <c r="I16" s="164">
        <v>10000</v>
      </c>
      <c r="J16" s="161">
        <v>2</v>
      </c>
      <c r="K16" s="327">
        <v>3000</v>
      </c>
      <c r="L16" s="297">
        <v>4000</v>
      </c>
      <c r="M16" s="155">
        <v>4000</v>
      </c>
    </row>
    <row r="17" spans="2:13" ht="15.75" x14ac:dyDescent="0.25">
      <c r="B17" s="149">
        <v>41</v>
      </c>
      <c r="C17" s="146">
        <v>222</v>
      </c>
      <c r="D17" s="152" t="s">
        <v>29</v>
      </c>
      <c r="E17" s="158" t="s">
        <v>50</v>
      </c>
      <c r="F17" s="161">
        <v>952</v>
      </c>
      <c r="G17" s="161">
        <v>0</v>
      </c>
      <c r="H17" s="161">
        <v>0</v>
      </c>
      <c r="I17" s="164">
        <v>2500</v>
      </c>
      <c r="J17" s="161">
        <v>232</v>
      </c>
      <c r="K17" s="327">
        <v>500</v>
      </c>
      <c r="L17" s="297">
        <v>500</v>
      </c>
      <c r="M17" s="155">
        <v>500</v>
      </c>
    </row>
    <row r="18" spans="2:13" ht="15.75" x14ac:dyDescent="0.25">
      <c r="B18" s="149">
        <v>41</v>
      </c>
      <c r="C18" s="146">
        <v>223</v>
      </c>
      <c r="D18" s="152" t="s">
        <v>30</v>
      </c>
      <c r="E18" s="158" t="s">
        <v>51</v>
      </c>
      <c r="F18" s="161">
        <v>17000</v>
      </c>
      <c r="G18" s="161">
        <v>26654.41</v>
      </c>
      <c r="H18" s="161">
        <v>22958.77</v>
      </c>
      <c r="I18" s="164">
        <v>25000</v>
      </c>
      <c r="J18" s="161">
        <v>21590.42</v>
      </c>
      <c r="K18" s="327">
        <v>25000</v>
      </c>
      <c r="L18" s="297">
        <v>25000</v>
      </c>
      <c r="M18" s="155">
        <v>25000</v>
      </c>
    </row>
    <row r="19" spans="2:13" ht="15.75" x14ac:dyDescent="0.25">
      <c r="B19" s="149">
        <v>41</v>
      </c>
      <c r="C19" s="146">
        <v>223</v>
      </c>
      <c r="D19" s="152" t="s">
        <v>31</v>
      </c>
      <c r="E19" s="158" t="s">
        <v>52</v>
      </c>
      <c r="F19" s="161">
        <v>3767</v>
      </c>
      <c r="G19" s="161">
        <v>2109.6</v>
      </c>
      <c r="H19" s="161">
        <v>2955.2</v>
      </c>
      <c r="I19" s="164">
        <v>5700</v>
      </c>
      <c r="J19" s="161">
        <v>4932</v>
      </c>
      <c r="K19" s="327">
        <v>9840</v>
      </c>
      <c r="L19" s="297">
        <v>9880</v>
      </c>
      <c r="M19" s="155">
        <v>9870</v>
      </c>
    </row>
    <row r="20" spans="2:13" ht="15.75" x14ac:dyDescent="0.25">
      <c r="B20" s="149">
        <v>41</v>
      </c>
      <c r="C20" s="146">
        <v>223</v>
      </c>
      <c r="D20" s="152" t="s">
        <v>29</v>
      </c>
      <c r="E20" s="158" t="s">
        <v>53</v>
      </c>
      <c r="F20" s="161">
        <v>5213.22</v>
      </c>
      <c r="G20" s="161">
        <v>0</v>
      </c>
      <c r="H20" s="161">
        <v>0</v>
      </c>
      <c r="I20" s="164">
        <v>0</v>
      </c>
      <c r="J20" s="161">
        <v>0</v>
      </c>
      <c r="K20" s="327">
        <v>0</v>
      </c>
      <c r="L20" s="297">
        <v>0</v>
      </c>
      <c r="M20" s="155">
        <v>0</v>
      </c>
    </row>
    <row r="21" spans="2:13" ht="15.75" x14ac:dyDescent="0.25">
      <c r="B21" s="149">
        <v>41</v>
      </c>
      <c r="C21" s="146">
        <v>223</v>
      </c>
      <c r="D21" s="152" t="s">
        <v>34</v>
      </c>
      <c r="E21" s="158" t="s">
        <v>298</v>
      </c>
      <c r="F21" s="161">
        <v>0</v>
      </c>
      <c r="G21" s="161">
        <v>0</v>
      </c>
      <c r="H21" s="161">
        <v>0</v>
      </c>
      <c r="I21" s="164">
        <v>0</v>
      </c>
      <c r="J21" s="161">
        <v>0</v>
      </c>
      <c r="K21" s="327">
        <v>0</v>
      </c>
      <c r="L21" s="297">
        <v>0</v>
      </c>
      <c r="M21" s="155">
        <v>0</v>
      </c>
    </row>
    <row r="22" spans="2:13" ht="15.75" x14ac:dyDescent="0.25">
      <c r="B22" s="149">
        <v>41</v>
      </c>
      <c r="C22" s="146">
        <v>243</v>
      </c>
      <c r="D22" s="152"/>
      <c r="E22" s="158" t="s">
        <v>55</v>
      </c>
      <c r="F22" s="161">
        <v>762.79</v>
      </c>
      <c r="G22" s="161">
        <v>38.22</v>
      </c>
      <c r="H22" s="161">
        <v>33.020000000000003</v>
      </c>
      <c r="I22" s="164">
        <v>50</v>
      </c>
      <c r="J22" s="161">
        <v>28.8</v>
      </c>
      <c r="K22" s="327">
        <v>40</v>
      </c>
      <c r="L22" s="297">
        <v>50</v>
      </c>
      <c r="M22" s="155">
        <v>50</v>
      </c>
    </row>
    <row r="23" spans="2:13" ht="15.75" x14ac:dyDescent="0.25">
      <c r="B23" s="149">
        <v>41</v>
      </c>
      <c r="C23" s="146">
        <v>291</v>
      </c>
      <c r="D23" s="152" t="s">
        <v>108</v>
      </c>
      <c r="E23" s="158" t="s">
        <v>299</v>
      </c>
      <c r="F23" s="161">
        <v>0</v>
      </c>
      <c r="G23" s="161">
        <v>0</v>
      </c>
      <c r="H23" s="161">
        <v>0</v>
      </c>
      <c r="I23" s="164">
        <v>0</v>
      </c>
      <c r="J23" s="161">
        <v>0</v>
      </c>
      <c r="K23" s="327">
        <v>0</v>
      </c>
      <c r="L23" s="297">
        <v>0</v>
      </c>
      <c r="M23" s="155">
        <v>0</v>
      </c>
    </row>
    <row r="24" spans="2:13" ht="15.75" x14ac:dyDescent="0.25">
      <c r="B24" s="149">
        <v>41</v>
      </c>
      <c r="C24" s="146">
        <v>292</v>
      </c>
      <c r="D24" s="152" t="s">
        <v>35</v>
      </c>
      <c r="E24" s="158" t="s">
        <v>56</v>
      </c>
      <c r="F24" s="161">
        <v>0</v>
      </c>
      <c r="G24" s="161">
        <v>409.79</v>
      </c>
      <c r="H24" s="161">
        <v>0</v>
      </c>
      <c r="I24" s="164">
        <v>0</v>
      </c>
      <c r="J24" s="161">
        <v>487.5</v>
      </c>
      <c r="K24" s="327">
        <v>300</v>
      </c>
      <c r="L24" s="297">
        <v>0</v>
      </c>
      <c r="M24" s="155">
        <v>0</v>
      </c>
    </row>
    <row r="25" spans="2:13" ht="15.75" x14ac:dyDescent="0.25">
      <c r="B25" s="149">
        <v>41</v>
      </c>
      <c r="C25" s="146">
        <v>292</v>
      </c>
      <c r="D25" s="152" t="s">
        <v>36</v>
      </c>
      <c r="E25" s="158" t="s">
        <v>57</v>
      </c>
      <c r="F25" s="161">
        <v>177.47</v>
      </c>
      <c r="G25" s="161">
        <v>9137.68</v>
      </c>
      <c r="H25" s="161">
        <v>60.29</v>
      </c>
      <c r="I25" s="164">
        <v>100</v>
      </c>
      <c r="J25" s="161">
        <v>97.05</v>
      </c>
      <c r="K25" s="327">
        <v>100</v>
      </c>
      <c r="L25" s="297">
        <v>100</v>
      </c>
      <c r="M25" s="155">
        <v>100</v>
      </c>
    </row>
    <row r="26" spans="2:13" ht="15.75" x14ac:dyDescent="0.25">
      <c r="B26" s="149">
        <v>41</v>
      </c>
      <c r="C26" s="146">
        <v>292</v>
      </c>
      <c r="D26" s="152" t="s">
        <v>32</v>
      </c>
      <c r="E26" s="158" t="s">
        <v>58</v>
      </c>
      <c r="F26" s="161">
        <v>4480.66</v>
      </c>
      <c r="G26" s="161">
        <v>1511.37</v>
      </c>
      <c r="H26" s="161">
        <v>0</v>
      </c>
      <c r="I26" s="164">
        <v>3000</v>
      </c>
      <c r="J26" s="161">
        <v>0</v>
      </c>
      <c r="K26" s="327">
        <v>0</v>
      </c>
      <c r="L26" s="297">
        <v>0</v>
      </c>
      <c r="M26" s="155">
        <v>0</v>
      </c>
    </row>
    <row r="27" spans="2:13" ht="15.75" x14ac:dyDescent="0.25">
      <c r="B27" s="149">
        <v>41</v>
      </c>
      <c r="C27" s="146">
        <v>292</v>
      </c>
      <c r="D27" s="152" t="s">
        <v>37</v>
      </c>
      <c r="E27" s="158" t="s">
        <v>59</v>
      </c>
      <c r="F27" s="161">
        <v>0</v>
      </c>
      <c r="G27" s="161">
        <v>9308.2199999999993</v>
      </c>
      <c r="H27" s="161">
        <v>43.42</v>
      </c>
      <c r="I27" s="164">
        <v>0</v>
      </c>
      <c r="J27" s="161">
        <v>0</v>
      </c>
      <c r="K27" s="327">
        <v>0</v>
      </c>
      <c r="L27" s="297">
        <v>0</v>
      </c>
      <c r="M27" s="155">
        <v>0</v>
      </c>
    </row>
    <row r="28" spans="2:13" ht="15.75" x14ac:dyDescent="0.25">
      <c r="B28" s="149">
        <v>41</v>
      </c>
      <c r="C28" s="146">
        <v>292</v>
      </c>
      <c r="D28" s="152" t="s">
        <v>38</v>
      </c>
      <c r="E28" s="158" t="s">
        <v>60</v>
      </c>
      <c r="F28" s="161">
        <v>0</v>
      </c>
      <c r="G28" s="161">
        <v>476.4</v>
      </c>
      <c r="H28" s="161">
        <v>2505.08</v>
      </c>
      <c r="I28" s="164">
        <v>1000</v>
      </c>
      <c r="J28" s="161">
        <v>70.11</v>
      </c>
      <c r="K28" s="327">
        <v>1000</v>
      </c>
      <c r="L28" s="297">
        <v>1000</v>
      </c>
      <c r="M28" s="155">
        <v>1000</v>
      </c>
    </row>
    <row r="29" spans="2:13" ht="15.75" x14ac:dyDescent="0.25">
      <c r="B29" s="149" t="s">
        <v>392</v>
      </c>
      <c r="C29" s="146">
        <v>311</v>
      </c>
      <c r="D29" s="152"/>
      <c r="E29" s="158" t="s">
        <v>300</v>
      </c>
      <c r="F29" s="161">
        <v>0</v>
      </c>
      <c r="G29" s="161">
        <v>0</v>
      </c>
      <c r="H29" s="161">
        <v>0</v>
      </c>
      <c r="I29" s="164">
        <v>0</v>
      </c>
      <c r="J29" s="161">
        <v>2700</v>
      </c>
      <c r="K29" s="327">
        <v>0</v>
      </c>
      <c r="L29" s="297"/>
      <c r="M29" s="155"/>
    </row>
    <row r="30" spans="2:13" ht="15.75" x14ac:dyDescent="0.25">
      <c r="B30" s="149">
        <v>71</v>
      </c>
      <c r="C30" s="146">
        <v>311</v>
      </c>
      <c r="D30" s="152"/>
      <c r="E30" s="158" t="s">
        <v>300</v>
      </c>
      <c r="F30" s="161">
        <v>0</v>
      </c>
      <c r="G30" s="161">
        <v>0</v>
      </c>
      <c r="H30" s="161">
        <v>0</v>
      </c>
      <c r="I30" s="164">
        <v>0</v>
      </c>
      <c r="J30" s="161">
        <v>0</v>
      </c>
      <c r="K30" s="327">
        <v>0</v>
      </c>
      <c r="L30" s="297">
        <v>0</v>
      </c>
      <c r="M30" s="155">
        <v>0</v>
      </c>
    </row>
    <row r="31" spans="2:13" ht="15.75" x14ac:dyDescent="0.25">
      <c r="B31" s="346">
        <v>111</v>
      </c>
      <c r="C31" s="347">
        <v>312</v>
      </c>
      <c r="D31" s="348" t="s">
        <v>30</v>
      </c>
      <c r="E31" s="349" t="s">
        <v>61</v>
      </c>
      <c r="F31" s="164">
        <v>128067</v>
      </c>
      <c r="G31" s="164">
        <v>173323.84</v>
      </c>
      <c r="H31" s="164">
        <v>241245.83</v>
      </c>
      <c r="I31" s="164">
        <v>149067</v>
      </c>
      <c r="J31" s="164">
        <v>162507.94</v>
      </c>
      <c r="K31" s="327">
        <v>167917</v>
      </c>
      <c r="L31" s="297">
        <v>163776</v>
      </c>
      <c r="M31" s="155">
        <v>163786</v>
      </c>
    </row>
    <row r="32" spans="2:13" ht="15" customHeight="1" x14ac:dyDescent="0.25">
      <c r="B32" s="346" t="s">
        <v>27</v>
      </c>
      <c r="C32" s="347">
        <v>312</v>
      </c>
      <c r="D32" s="348" t="s">
        <v>30</v>
      </c>
      <c r="E32" s="349" t="s">
        <v>400</v>
      </c>
      <c r="F32" s="164">
        <v>0</v>
      </c>
      <c r="G32" s="164">
        <v>42549.43</v>
      </c>
      <c r="H32" s="164">
        <v>86283.839999999997</v>
      </c>
      <c r="I32" s="164">
        <v>57120</v>
      </c>
      <c r="J32" s="164">
        <v>28149.21</v>
      </c>
      <c r="K32" s="327">
        <v>52360</v>
      </c>
      <c r="L32" s="297">
        <v>52400</v>
      </c>
      <c r="M32" s="155">
        <v>52500</v>
      </c>
    </row>
    <row r="33" spans="2:13" ht="15.75" x14ac:dyDescent="0.25">
      <c r="B33" s="149" t="s">
        <v>27</v>
      </c>
      <c r="C33" s="146">
        <v>312</v>
      </c>
      <c r="D33" s="152" t="s">
        <v>30</v>
      </c>
      <c r="E33" s="158" t="s">
        <v>62</v>
      </c>
      <c r="F33" s="161">
        <v>4980</v>
      </c>
      <c r="G33" s="161">
        <v>0</v>
      </c>
      <c r="H33" s="161">
        <v>0</v>
      </c>
      <c r="I33" s="164">
        <v>0</v>
      </c>
      <c r="J33" s="161">
        <v>0</v>
      </c>
      <c r="K33" s="327">
        <v>0</v>
      </c>
      <c r="L33" s="297">
        <v>0</v>
      </c>
      <c r="M33" s="155">
        <v>0</v>
      </c>
    </row>
    <row r="34" spans="2:13" ht="15.75" x14ac:dyDescent="0.25">
      <c r="B34" s="149" t="s">
        <v>295</v>
      </c>
      <c r="C34" s="146">
        <v>312</v>
      </c>
      <c r="D34" s="152" t="s">
        <v>30</v>
      </c>
      <c r="E34" s="158" t="s">
        <v>402</v>
      </c>
      <c r="F34" s="161">
        <v>0</v>
      </c>
      <c r="G34" s="161">
        <v>0</v>
      </c>
      <c r="H34" s="161">
        <v>0</v>
      </c>
      <c r="I34" s="164">
        <v>0</v>
      </c>
      <c r="J34" s="161">
        <v>325</v>
      </c>
      <c r="K34" s="327">
        <v>325</v>
      </c>
      <c r="L34" s="297">
        <v>325</v>
      </c>
      <c r="M34" s="155">
        <v>325</v>
      </c>
    </row>
    <row r="35" spans="2:13" ht="15.75" x14ac:dyDescent="0.25">
      <c r="B35" s="149" t="s">
        <v>296</v>
      </c>
      <c r="C35" s="146">
        <v>312</v>
      </c>
      <c r="D35" s="152" t="s">
        <v>30</v>
      </c>
      <c r="E35" s="158" t="s">
        <v>401</v>
      </c>
      <c r="F35" s="161">
        <v>0</v>
      </c>
      <c r="G35" s="161">
        <v>0</v>
      </c>
      <c r="H35" s="161">
        <v>0</v>
      </c>
      <c r="I35" s="164">
        <v>0</v>
      </c>
      <c r="J35" s="161">
        <v>32</v>
      </c>
      <c r="K35" s="327">
        <v>32</v>
      </c>
      <c r="L35" s="297">
        <v>32</v>
      </c>
      <c r="M35" s="155">
        <v>32</v>
      </c>
    </row>
    <row r="36" spans="2:13" ht="15.75" x14ac:dyDescent="0.25">
      <c r="B36" s="149" t="s">
        <v>28</v>
      </c>
      <c r="C36" s="146">
        <v>312</v>
      </c>
      <c r="D36" s="152" t="s">
        <v>30</v>
      </c>
      <c r="E36" s="158" t="s">
        <v>388</v>
      </c>
      <c r="F36" s="161">
        <v>66166.55</v>
      </c>
      <c r="G36" s="161">
        <v>0</v>
      </c>
      <c r="H36" s="161">
        <v>0</v>
      </c>
      <c r="I36" s="164">
        <v>0</v>
      </c>
      <c r="J36" s="161">
        <v>0</v>
      </c>
      <c r="K36" s="327">
        <v>0</v>
      </c>
      <c r="L36" s="297">
        <v>0</v>
      </c>
      <c r="M36" s="155">
        <v>0</v>
      </c>
    </row>
    <row r="37" spans="2:13" ht="15.75" x14ac:dyDescent="0.25">
      <c r="B37" s="149" t="s">
        <v>26</v>
      </c>
      <c r="C37" s="146">
        <v>223</v>
      </c>
      <c r="D37" s="152" t="s">
        <v>29</v>
      </c>
      <c r="E37" s="158" t="s">
        <v>54</v>
      </c>
      <c r="F37" s="161">
        <v>9000</v>
      </c>
      <c r="G37" s="161">
        <v>5212.6099999999997</v>
      </c>
      <c r="H37" s="161">
        <v>8556.7099999999991</v>
      </c>
      <c r="I37" s="164">
        <v>14000</v>
      </c>
      <c r="J37" s="161">
        <v>13294.37</v>
      </c>
      <c r="K37" s="327">
        <v>12920</v>
      </c>
      <c r="L37" s="297">
        <v>12960</v>
      </c>
      <c r="M37" s="155">
        <v>12970</v>
      </c>
    </row>
    <row r="38" spans="2:13" ht="16.5" thickBot="1" x14ac:dyDescent="0.3">
      <c r="B38" s="150">
        <v>71</v>
      </c>
      <c r="C38" s="147">
        <v>312</v>
      </c>
      <c r="D38" s="153" t="s">
        <v>39</v>
      </c>
      <c r="E38" s="159" t="s">
        <v>63</v>
      </c>
      <c r="F38" s="162">
        <v>17977.8</v>
      </c>
      <c r="G38" s="162">
        <v>19352.330000000002</v>
      </c>
      <c r="H38" s="162">
        <v>17243.830000000002</v>
      </c>
      <c r="I38" s="165">
        <v>21000</v>
      </c>
      <c r="J38" s="162">
        <v>20004.11</v>
      </c>
      <c r="K38" s="328">
        <v>21100</v>
      </c>
      <c r="L38" s="299">
        <v>21200</v>
      </c>
      <c r="M38" s="156">
        <v>21200</v>
      </c>
    </row>
    <row r="39" spans="2:13" ht="16.5" thickBot="1" x14ac:dyDescent="0.3">
      <c r="B39" s="394" t="s">
        <v>40</v>
      </c>
      <c r="C39" s="395"/>
      <c r="D39" s="395"/>
      <c r="E39" s="396"/>
      <c r="F39" s="32">
        <f>SUM(F5:F38)</f>
        <v>991281.19000000018</v>
      </c>
      <c r="G39" s="32">
        <f t="shared" ref="G39:M39" si="0">SUM(G5:G38)</f>
        <v>1025688.0500000002</v>
      </c>
      <c r="H39" s="32">
        <f t="shared" si="0"/>
        <v>1134820.24</v>
      </c>
      <c r="I39" s="141">
        <f t="shared" si="0"/>
        <v>1073338</v>
      </c>
      <c r="J39" s="141">
        <f>SUM(J5:J38)</f>
        <v>1060295.58</v>
      </c>
      <c r="K39" s="329">
        <f>SUM(K5:K38)</f>
        <v>1165771</v>
      </c>
      <c r="L39" s="300">
        <f t="shared" si="0"/>
        <v>1189135</v>
      </c>
      <c r="M39" s="300">
        <f t="shared" si="0"/>
        <v>1265311</v>
      </c>
    </row>
  </sheetData>
  <mergeCells count="2">
    <mergeCell ref="B2:M2"/>
    <mergeCell ref="B39:E39"/>
  </mergeCells>
  <pageMargins left="0.7" right="0.7" top="0.75" bottom="0.75" header="0.3" footer="0.3"/>
  <pageSetup paperSize="9" scale="6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B554"/>
  <sheetViews>
    <sheetView tabSelected="1" topLeftCell="A541" zoomScale="90" zoomScaleNormal="90" workbookViewId="0">
      <selection activeCell="M526" sqref="M526"/>
    </sheetView>
  </sheetViews>
  <sheetFormatPr defaultRowHeight="18.75" x14ac:dyDescent="0.3"/>
  <cols>
    <col min="2" max="2" width="8.140625" customWidth="1"/>
    <col min="3" max="3" width="11" customWidth="1"/>
    <col min="4" max="5" width="10.28515625" customWidth="1"/>
    <col min="6" max="6" width="9.140625" style="48" customWidth="1"/>
    <col min="7" max="7" width="12.85546875" style="34" customWidth="1"/>
    <col min="8" max="8" width="51.5703125" customWidth="1"/>
    <col min="9" max="9" width="15.42578125" style="29" customWidth="1"/>
    <col min="10" max="11" width="16.140625" style="29" customWidth="1"/>
    <col min="12" max="12" width="17.7109375" style="29" customWidth="1"/>
    <col min="13" max="13" width="16" style="29" customWidth="1"/>
    <col min="14" max="14" width="14.42578125" style="29" customWidth="1"/>
    <col min="15" max="15" width="14.7109375" style="29" customWidth="1"/>
    <col min="16" max="17" width="14.28515625" style="29" customWidth="1"/>
    <col min="18" max="18" width="15.7109375" customWidth="1"/>
    <col min="19" max="19" width="16.140625" customWidth="1"/>
    <col min="20" max="20" width="18" customWidth="1"/>
    <col min="21" max="21" width="16.42578125" customWidth="1"/>
  </cols>
  <sheetData>
    <row r="1" spans="1:18" ht="19.5" thickBot="1" x14ac:dyDescent="0.35"/>
    <row r="2" spans="1:18" ht="26.25" customHeight="1" thickBot="1" x14ac:dyDescent="0.3">
      <c r="B2" s="450" t="s">
        <v>69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2"/>
      <c r="R2" s="36"/>
    </row>
    <row r="3" spans="1:18" ht="16.5" customHeight="1" thickBot="1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6"/>
    </row>
    <row r="4" spans="1:18" ht="22.5" customHeight="1" thickBot="1" x14ac:dyDescent="0.3">
      <c r="B4" s="453" t="s">
        <v>132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5"/>
      <c r="R4" s="378"/>
    </row>
    <row r="5" spans="1:18" ht="21" customHeight="1" thickBot="1" x14ac:dyDescent="0.3">
      <c r="B5" s="402" t="s">
        <v>64</v>
      </c>
      <c r="C5" s="402" t="s">
        <v>65</v>
      </c>
      <c r="D5" s="402" t="s">
        <v>66</v>
      </c>
      <c r="E5" s="402" t="s">
        <v>67</v>
      </c>
      <c r="F5" s="402" t="s">
        <v>24</v>
      </c>
      <c r="G5" s="405" t="s">
        <v>25</v>
      </c>
      <c r="H5" s="402" t="s">
        <v>22</v>
      </c>
      <c r="I5" s="397" t="s">
        <v>68</v>
      </c>
      <c r="J5" s="397" t="s">
        <v>303</v>
      </c>
      <c r="K5" s="397" t="s">
        <v>365</v>
      </c>
      <c r="L5" s="397" t="s">
        <v>364</v>
      </c>
      <c r="M5" s="409" t="s">
        <v>18</v>
      </c>
      <c r="N5" s="410"/>
      <c r="O5" s="411"/>
      <c r="P5" s="397" t="s">
        <v>0</v>
      </c>
      <c r="Q5" s="397" t="s">
        <v>294</v>
      </c>
      <c r="R5" s="119"/>
    </row>
    <row r="6" spans="1:18" ht="32.25" customHeight="1" thickBot="1" x14ac:dyDescent="0.3">
      <c r="B6" s="403"/>
      <c r="C6" s="403"/>
      <c r="D6" s="403"/>
      <c r="E6" s="403"/>
      <c r="F6" s="403"/>
      <c r="G6" s="406"/>
      <c r="H6" s="403"/>
      <c r="I6" s="398"/>
      <c r="J6" s="398"/>
      <c r="K6" s="398"/>
      <c r="L6" s="408"/>
      <c r="M6" s="80">
        <v>111</v>
      </c>
      <c r="N6" s="80">
        <v>41</v>
      </c>
      <c r="O6" s="81" t="s">
        <v>106</v>
      </c>
      <c r="P6" s="456"/>
      <c r="Q6" s="398"/>
      <c r="R6" s="119"/>
    </row>
    <row r="7" spans="1:18" ht="19.5" thickBot="1" x14ac:dyDescent="0.35">
      <c r="B7" s="44" t="s">
        <v>70</v>
      </c>
      <c r="C7" s="44" t="s">
        <v>71</v>
      </c>
      <c r="D7" s="44" t="s">
        <v>72</v>
      </c>
      <c r="E7" s="44" t="s">
        <v>73</v>
      </c>
      <c r="F7" s="49" t="s">
        <v>74</v>
      </c>
      <c r="G7" s="45" t="s">
        <v>75</v>
      </c>
      <c r="H7" s="139" t="s">
        <v>76</v>
      </c>
      <c r="I7" s="45" t="s">
        <v>301</v>
      </c>
      <c r="J7" s="45">
        <v>2</v>
      </c>
      <c r="K7" s="175" t="s">
        <v>152</v>
      </c>
      <c r="L7" s="175" t="s">
        <v>366</v>
      </c>
      <c r="M7" s="180" t="s">
        <v>336</v>
      </c>
      <c r="N7" s="79" t="s">
        <v>337</v>
      </c>
      <c r="O7" s="79" t="s">
        <v>338</v>
      </c>
      <c r="P7" s="46" t="s">
        <v>339</v>
      </c>
      <c r="Q7" s="45" t="s">
        <v>340</v>
      </c>
      <c r="R7" s="119"/>
    </row>
    <row r="8" spans="1:18" ht="15.75" x14ac:dyDescent="0.25">
      <c r="B8" s="142" t="s">
        <v>77</v>
      </c>
      <c r="C8" s="145">
        <v>1</v>
      </c>
      <c r="D8" s="145">
        <v>1</v>
      </c>
      <c r="E8" s="145"/>
      <c r="F8" s="145">
        <v>611</v>
      </c>
      <c r="G8" s="142"/>
      <c r="H8" s="145" t="s">
        <v>78</v>
      </c>
      <c r="I8" s="160">
        <v>68157.119999999995</v>
      </c>
      <c r="J8" s="160">
        <f>2294.15+65719.92</f>
        <v>68014.069999999992</v>
      </c>
      <c r="K8" s="160">
        <f>72425+642</f>
        <v>73067</v>
      </c>
      <c r="L8" s="163">
        <v>95259.77</v>
      </c>
      <c r="M8" s="385">
        <v>605</v>
      </c>
      <c r="N8" s="174">
        <v>99607</v>
      </c>
      <c r="O8" s="182">
        <f>N8+M8</f>
        <v>100212</v>
      </c>
      <c r="P8" s="160">
        <v>100212</v>
      </c>
      <c r="Q8" s="160">
        <v>100212</v>
      </c>
      <c r="R8" s="119"/>
    </row>
    <row r="9" spans="1:18" ht="15.75" x14ac:dyDescent="0.25">
      <c r="B9" s="143" t="s">
        <v>77</v>
      </c>
      <c r="C9" s="146">
        <v>1</v>
      </c>
      <c r="D9" s="146">
        <v>1</v>
      </c>
      <c r="E9" s="146"/>
      <c r="F9" s="146">
        <v>614</v>
      </c>
      <c r="G9" s="143"/>
      <c r="H9" s="146" t="s">
        <v>79</v>
      </c>
      <c r="I9" s="161">
        <v>0</v>
      </c>
      <c r="J9" s="161">
        <v>0</v>
      </c>
      <c r="K9" s="161">
        <v>0</v>
      </c>
      <c r="L9" s="164">
        <v>0</v>
      </c>
      <c r="M9" s="183">
        <v>0</v>
      </c>
      <c r="N9" s="172">
        <v>0</v>
      </c>
      <c r="O9" s="182">
        <f t="shared" ref="O9:O64" si="0">N9+M9</f>
        <v>0</v>
      </c>
      <c r="P9" s="161">
        <v>0</v>
      </c>
      <c r="Q9" s="161">
        <v>0</v>
      </c>
      <c r="R9" s="119"/>
    </row>
    <row r="10" spans="1:18" ht="15.75" x14ac:dyDescent="0.25">
      <c r="B10" s="143" t="s">
        <v>77</v>
      </c>
      <c r="C10" s="146">
        <v>1</v>
      </c>
      <c r="D10" s="146">
        <v>1</v>
      </c>
      <c r="E10" s="146"/>
      <c r="F10" s="146">
        <v>621</v>
      </c>
      <c r="G10" s="143"/>
      <c r="H10" s="146" t="s">
        <v>80</v>
      </c>
      <c r="I10" s="161">
        <v>243.21</v>
      </c>
      <c r="J10" s="161">
        <v>60</v>
      </c>
      <c r="K10" s="161">
        <v>25537</v>
      </c>
      <c r="L10" s="164">
        <v>187.6</v>
      </c>
      <c r="M10" s="183">
        <v>0</v>
      </c>
      <c r="N10" s="172">
        <v>0</v>
      </c>
      <c r="O10" s="182">
        <f t="shared" si="0"/>
        <v>0</v>
      </c>
      <c r="P10" s="161">
        <v>0</v>
      </c>
      <c r="Q10" s="161">
        <v>0</v>
      </c>
      <c r="R10" s="119"/>
    </row>
    <row r="11" spans="1:18" ht="15.75" x14ac:dyDescent="0.25">
      <c r="B11" s="143" t="s">
        <v>77</v>
      </c>
      <c r="C11" s="146">
        <v>1</v>
      </c>
      <c r="D11" s="146">
        <v>1</v>
      </c>
      <c r="E11" s="146"/>
      <c r="F11" s="146">
        <v>623</v>
      </c>
      <c r="G11" s="143"/>
      <c r="H11" s="146" t="s">
        <v>333</v>
      </c>
      <c r="I11" s="161">
        <v>6920.09</v>
      </c>
      <c r="J11" s="161">
        <v>7639.31</v>
      </c>
      <c r="K11" s="161">
        <v>0</v>
      </c>
      <c r="L11" s="164">
        <v>9930.98</v>
      </c>
      <c r="M11" s="183">
        <v>0</v>
      </c>
      <c r="N11" s="172">
        <v>10021.200000000001</v>
      </c>
      <c r="O11" s="182">
        <f t="shared" si="0"/>
        <v>10021.200000000001</v>
      </c>
      <c r="P11" s="161">
        <v>10021</v>
      </c>
      <c r="Q11" s="161">
        <v>10021</v>
      </c>
      <c r="R11" s="119"/>
    </row>
    <row r="12" spans="1:18" ht="15.75" x14ac:dyDescent="0.25">
      <c r="B12" s="143" t="s">
        <v>77</v>
      </c>
      <c r="C12" s="146">
        <v>1</v>
      </c>
      <c r="D12" s="146">
        <v>1</v>
      </c>
      <c r="E12" s="146"/>
      <c r="F12" s="146">
        <v>625</v>
      </c>
      <c r="G12" s="143" t="s">
        <v>30</v>
      </c>
      <c r="H12" s="146" t="s">
        <v>321</v>
      </c>
      <c r="I12" s="161">
        <v>1009.92</v>
      </c>
      <c r="J12" s="161">
        <v>1026.55</v>
      </c>
      <c r="K12" s="161">
        <v>0</v>
      </c>
      <c r="L12" s="164">
        <v>1369.44</v>
      </c>
      <c r="M12" s="183">
        <v>0</v>
      </c>
      <c r="N12" s="172">
        <v>1402.9680000000001</v>
      </c>
      <c r="O12" s="182">
        <f t="shared" si="0"/>
        <v>1402.9680000000001</v>
      </c>
      <c r="P12" s="161">
        <v>1405</v>
      </c>
      <c r="Q12" s="161">
        <v>1405</v>
      </c>
      <c r="R12" s="119"/>
    </row>
    <row r="13" spans="1:18" ht="15.75" x14ac:dyDescent="0.25">
      <c r="B13" s="143" t="s">
        <v>77</v>
      </c>
      <c r="C13" s="146">
        <v>1</v>
      </c>
      <c r="D13" s="146">
        <v>1</v>
      </c>
      <c r="E13" s="146"/>
      <c r="F13" s="146">
        <v>625</v>
      </c>
      <c r="G13" s="143" t="s">
        <v>31</v>
      </c>
      <c r="H13" s="146" t="s">
        <v>322</v>
      </c>
      <c r="I13" s="161">
        <v>10185.66</v>
      </c>
      <c r="J13" s="161">
        <v>10736.92</v>
      </c>
      <c r="K13" s="161">
        <v>0</v>
      </c>
      <c r="L13" s="164">
        <v>13986.44</v>
      </c>
      <c r="M13" s="183">
        <v>0</v>
      </c>
      <c r="N13" s="172">
        <v>14029.68</v>
      </c>
      <c r="O13" s="182">
        <f t="shared" si="0"/>
        <v>14029.68</v>
      </c>
      <c r="P13" s="161">
        <v>14030</v>
      </c>
      <c r="Q13" s="161">
        <v>14030</v>
      </c>
      <c r="R13" s="119"/>
    </row>
    <row r="14" spans="1:18" ht="15.75" x14ac:dyDescent="0.25">
      <c r="B14" s="143" t="s">
        <v>77</v>
      </c>
      <c r="C14" s="146">
        <v>1</v>
      </c>
      <c r="D14" s="146">
        <v>1</v>
      </c>
      <c r="E14" s="146"/>
      <c r="F14" s="146">
        <v>625</v>
      </c>
      <c r="G14" s="143" t="s">
        <v>29</v>
      </c>
      <c r="H14" s="146" t="s">
        <v>323</v>
      </c>
      <c r="I14" s="161">
        <v>536.16</v>
      </c>
      <c r="J14" s="161">
        <v>566.67999999999995</v>
      </c>
      <c r="K14" s="161">
        <v>0</v>
      </c>
      <c r="L14" s="164">
        <v>744.78</v>
      </c>
      <c r="M14" s="183">
        <v>0</v>
      </c>
      <c r="N14" s="172">
        <v>801.69600000000003</v>
      </c>
      <c r="O14" s="182">
        <f t="shared" si="0"/>
        <v>801.69600000000003</v>
      </c>
      <c r="P14" s="161">
        <v>805</v>
      </c>
      <c r="Q14" s="161">
        <v>805</v>
      </c>
      <c r="R14" s="119"/>
    </row>
    <row r="15" spans="1:18" ht="15.75" x14ac:dyDescent="0.25">
      <c r="B15" s="143" t="s">
        <v>77</v>
      </c>
      <c r="C15" s="146">
        <v>1</v>
      </c>
      <c r="D15" s="146">
        <v>1</v>
      </c>
      <c r="E15" s="146"/>
      <c r="F15" s="146">
        <v>625</v>
      </c>
      <c r="G15" s="143" t="s">
        <v>34</v>
      </c>
      <c r="H15" s="146" t="s">
        <v>324</v>
      </c>
      <c r="I15" s="161">
        <v>2061.9499999999998</v>
      </c>
      <c r="J15" s="161">
        <v>2178.19</v>
      </c>
      <c r="K15" s="161">
        <v>0</v>
      </c>
      <c r="L15" s="164">
        <v>2856.49</v>
      </c>
      <c r="M15" s="183">
        <v>0</v>
      </c>
      <c r="N15" s="172">
        <v>3006.36</v>
      </c>
      <c r="O15" s="182">
        <f t="shared" si="0"/>
        <v>3006.36</v>
      </c>
      <c r="P15" s="161">
        <v>3010</v>
      </c>
      <c r="Q15" s="161">
        <v>3010</v>
      </c>
      <c r="R15" s="119"/>
    </row>
    <row r="16" spans="1:18" ht="15.75" x14ac:dyDescent="0.25">
      <c r="B16" s="143" t="s">
        <v>77</v>
      </c>
      <c r="C16" s="146">
        <v>1</v>
      </c>
      <c r="D16" s="146">
        <v>1</v>
      </c>
      <c r="E16" s="146"/>
      <c r="F16" s="146">
        <v>625</v>
      </c>
      <c r="G16" s="143" t="s">
        <v>107</v>
      </c>
      <c r="H16" s="146" t="s">
        <v>325</v>
      </c>
      <c r="I16" s="161">
        <v>681.23</v>
      </c>
      <c r="J16" s="161">
        <v>692.51</v>
      </c>
      <c r="K16" s="161">
        <v>0</v>
      </c>
      <c r="L16" s="164">
        <v>951.73</v>
      </c>
      <c r="M16" s="183">
        <v>0</v>
      </c>
      <c r="N16" s="172">
        <v>1002.12</v>
      </c>
      <c r="O16" s="182">
        <f t="shared" si="0"/>
        <v>1002.12</v>
      </c>
      <c r="P16" s="161">
        <v>1005</v>
      </c>
      <c r="Q16" s="161">
        <v>1005</v>
      </c>
      <c r="R16" s="119"/>
    </row>
    <row r="17" spans="2:18" ht="15.75" x14ac:dyDescent="0.25">
      <c r="B17" s="143" t="s">
        <v>77</v>
      </c>
      <c r="C17" s="146">
        <v>1</v>
      </c>
      <c r="D17" s="146">
        <v>1</v>
      </c>
      <c r="E17" s="146"/>
      <c r="F17" s="146">
        <v>625</v>
      </c>
      <c r="G17" s="143" t="s">
        <v>108</v>
      </c>
      <c r="H17" s="146" t="s">
        <v>326</v>
      </c>
      <c r="I17" s="161">
        <v>3455.43</v>
      </c>
      <c r="J17" s="161">
        <v>3642.47</v>
      </c>
      <c r="K17" s="161">
        <v>0</v>
      </c>
      <c r="L17" s="164">
        <v>4759.16</v>
      </c>
      <c r="M17" s="183">
        <v>0</v>
      </c>
      <c r="N17" s="172">
        <v>4760.07</v>
      </c>
      <c r="O17" s="182">
        <f t="shared" si="0"/>
        <v>4760.07</v>
      </c>
      <c r="P17" s="161">
        <v>4760</v>
      </c>
      <c r="Q17" s="161">
        <v>4760</v>
      </c>
      <c r="R17" s="119"/>
    </row>
    <row r="18" spans="2:18" ht="15.75" x14ac:dyDescent="0.25">
      <c r="B18" s="143" t="s">
        <v>77</v>
      </c>
      <c r="C18" s="146">
        <v>1</v>
      </c>
      <c r="D18" s="146">
        <v>1</v>
      </c>
      <c r="E18" s="146"/>
      <c r="F18" s="146">
        <v>627</v>
      </c>
      <c r="G18" s="143"/>
      <c r="H18" s="146" t="s">
        <v>327</v>
      </c>
      <c r="I18" s="161">
        <v>1025.3699999999999</v>
      </c>
      <c r="J18" s="161">
        <v>1036.22</v>
      </c>
      <c r="K18" s="161">
        <v>0</v>
      </c>
      <c r="L18" s="164">
        <v>1579.81</v>
      </c>
      <c r="M18" s="183">
        <v>0</v>
      </c>
      <c r="N18" s="172">
        <v>2004.24</v>
      </c>
      <c r="O18" s="182">
        <f t="shared" si="0"/>
        <v>2004.24</v>
      </c>
      <c r="P18" s="161">
        <v>2005</v>
      </c>
      <c r="Q18" s="161">
        <v>2005</v>
      </c>
      <c r="R18" s="119"/>
    </row>
    <row r="19" spans="2:18" ht="15.75" x14ac:dyDescent="0.25">
      <c r="B19" s="143" t="s">
        <v>77</v>
      </c>
      <c r="C19" s="146">
        <v>1</v>
      </c>
      <c r="D19" s="146">
        <v>1</v>
      </c>
      <c r="E19" s="146"/>
      <c r="F19" s="146">
        <v>631</v>
      </c>
      <c r="G19" s="143" t="s">
        <v>30</v>
      </c>
      <c r="H19" s="146" t="s">
        <v>81</v>
      </c>
      <c r="I19" s="161">
        <v>4.3</v>
      </c>
      <c r="J19" s="161">
        <v>0</v>
      </c>
      <c r="K19" s="161">
        <v>200</v>
      </c>
      <c r="L19" s="164">
        <v>722.15</v>
      </c>
      <c r="M19" s="183">
        <v>0</v>
      </c>
      <c r="N19" s="172">
        <v>500</v>
      </c>
      <c r="O19" s="182">
        <f t="shared" si="0"/>
        <v>500</v>
      </c>
      <c r="P19" s="161">
        <v>500</v>
      </c>
      <c r="Q19" s="161">
        <v>550</v>
      </c>
      <c r="R19" s="119"/>
    </row>
    <row r="20" spans="2:18" ht="15.75" x14ac:dyDescent="0.25">
      <c r="B20" s="143" t="s">
        <v>77</v>
      </c>
      <c r="C20" s="146">
        <v>1</v>
      </c>
      <c r="D20" s="146">
        <v>1</v>
      </c>
      <c r="E20" s="146"/>
      <c r="F20" s="146">
        <v>631</v>
      </c>
      <c r="G20" s="143" t="s">
        <v>31</v>
      </c>
      <c r="H20" s="146" t="s">
        <v>82</v>
      </c>
      <c r="I20" s="161">
        <v>142.53</v>
      </c>
      <c r="J20" s="161">
        <v>222.17</v>
      </c>
      <c r="K20" s="161">
        <v>200</v>
      </c>
      <c r="L20" s="164">
        <v>370</v>
      </c>
      <c r="M20" s="183">
        <v>0</v>
      </c>
      <c r="N20" s="172">
        <v>400</v>
      </c>
      <c r="O20" s="182">
        <f t="shared" si="0"/>
        <v>400</v>
      </c>
      <c r="P20" s="161">
        <v>400</v>
      </c>
      <c r="Q20" s="161">
        <v>400</v>
      </c>
      <c r="R20" s="119"/>
    </row>
    <row r="21" spans="2:18" ht="15.75" x14ac:dyDescent="0.25">
      <c r="B21" s="143" t="s">
        <v>77</v>
      </c>
      <c r="C21" s="146">
        <v>1</v>
      </c>
      <c r="D21" s="146">
        <v>1</v>
      </c>
      <c r="E21" s="146"/>
      <c r="F21" s="146">
        <v>632</v>
      </c>
      <c r="G21" s="143" t="s">
        <v>30</v>
      </c>
      <c r="H21" s="146" t="s">
        <v>83</v>
      </c>
      <c r="I21" s="161">
        <v>4027.68</v>
      </c>
      <c r="J21" s="161">
        <v>4259.76</v>
      </c>
      <c r="K21" s="161">
        <v>6000</v>
      </c>
      <c r="L21" s="164">
        <v>6785.83</v>
      </c>
      <c r="M21" s="183">
        <v>0</v>
      </c>
      <c r="N21" s="172">
        <v>12000</v>
      </c>
      <c r="O21" s="182">
        <f t="shared" si="0"/>
        <v>12000</v>
      </c>
      <c r="P21" s="161">
        <v>12000</v>
      </c>
      <c r="Q21" s="161">
        <v>12000</v>
      </c>
      <c r="R21" s="119"/>
    </row>
    <row r="22" spans="2:18" ht="15.75" x14ac:dyDescent="0.25">
      <c r="B22" s="143" t="s">
        <v>77</v>
      </c>
      <c r="C22" s="146">
        <v>1</v>
      </c>
      <c r="D22" s="146">
        <v>1</v>
      </c>
      <c r="E22" s="146"/>
      <c r="F22" s="146">
        <v>632</v>
      </c>
      <c r="G22" s="143" t="s">
        <v>31</v>
      </c>
      <c r="H22" s="146" t="s">
        <v>84</v>
      </c>
      <c r="I22" s="161">
        <v>0</v>
      </c>
      <c r="J22" s="161">
        <v>0</v>
      </c>
      <c r="K22" s="161">
        <v>0</v>
      </c>
      <c r="L22" s="164">
        <v>0</v>
      </c>
      <c r="M22" s="183">
        <v>0</v>
      </c>
      <c r="N22" s="172">
        <v>0</v>
      </c>
      <c r="O22" s="182">
        <f t="shared" si="0"/>
        <v>0</v>
      </c>
      <c r="P22" s="161">
        <v>0</v>
      </c>
      <c r="Q22" s="161">
        <v>0</v>
      </c>
      <c r="R22" s="119"/>
    </row>
    <row r="23" spans="2:18" ht="15.75" x14ac:dyDescent="0.25">
      <c r="B23" s="143" t="s">
        <v>77</v>
      </c>
      <c r="C23" s="146">
        <v>1</v>
      </c>
      <c r="D23" s="146">
        <v>1</v>
      </c>
      <c r="E23" s="146"/>
      <c r="F23" s="146">
        <v>632</v>
      </c>
      <c r="G23" s="143" t="s">
        <v>29</v>
      </c>
      <c r="H23" s="146" t="s">
        <v>85</v>
      </c>
      <c r="I23" s="161">
        <v>1679.69</v>
      </c>
      <c r="J23" s="161">
        <v>1148.6500000000001</v>
      </c>
      <c r="K23" s="161">
        <v>2500</v>
      </c>
      <c r="L23" s="164">
        <v>825.9</v>
      </c>
      <c r="M23" s="183">
        <v>0</v>
      </c>
      <c r="N23" s="172">
        <v>900</v>
      </c>
      <c r="O23" s="182">
        <f t="shared" si="0"/>
        <v>900</v>
      </c>
      <c r="P23" s="161">
        <v>900</v>
      </c>
      <c r="Q23" s="161">
        <v>900</v>
      </c>
      <c r="R23" s="119"/>
    </row>
    <row r="24" spans="2:18" ht="15.75" x14ac:dyDescent="0.25">
      <c r="B24" s="143"/>
      <c r="C24" s="146"/>
      <c r="D24" s="146"/>
      <c r="E24" s="146"/>
      <c r="F24" s="146">
        <v>632</v>
      </c>
      <c r="G24" s="143" t="s">
        <v>34</v>
      </c>
      <c r="H24" s="286" t="s">
        <v>367</v>
      </c>
      <c r="I24" s="161">
        <v>640.46</v>
      </c>
      <c r="J24" s="161">
        <v>3312.89</v>
      </c>
      <c r="K24" s="161">
        <v>4000</v>
      </c>
      <c r="L24" s="164">
        <v>2706.42</v>
      </c>
      <c r="M24" s="183">
        <v>0</v>
      </c>
      <c r="N24" s="172">
        <v>2600</v>
      </c>
      <c r="O24" s="182">
        <f t="shared" si="0"/>
        <v>2600</v>
      </c>
      <c r="P24" s="161">
        <v>2600</v>
      </c>
      <c r="Q24" s="161">
        <v>2600</v>
      </c>
      <c r="R24" s="119"/>
    </row>
    <row r="25" spans="2:18" ht="15.75" x14ac:dyDescent="0.25">
      <c r="B25" s="143" t="s">
        <v>77</v>
      </c>
      <c r="C25" s="146">
        <v>1</v>
      </c>
      <c r="D25" s="146">
        <v>1</v>
      </c>
      <c r="E25" s="146"/>
      <c r="F25" s="146">
        <v>632</v>
      </c>
      <c r="G25" s="143" t="s">
        <v>107</v>
      </c>
      <c r="H25" s="146" t="s">
        <v>86</v>
      </c>
      <c r="I25" s="161">
        <v>2066.27</v>
      </c>
      <c r="J25" s="161">
        <v>2071.17</v>
      </c>
      <c r="K25" s="161">
        <v>2000</v>
      </c>
      <c r="L25" s="164">
        <v>2292.5</v>
      </c>
      <c r="M25" s="183">
        <v>0</v>
      </c>
      <c r="N25" s="172">
        <v>2400</v>
      </c>
      <c r="O25" s="182">
        <f t="shared" si="0"/>
        <v>2400</v>
      </c>
      <c r="P25" s="161">
        <v>2300</v>
      </c>
      <c r="Q25" s="161">
        <v>2300</v>
      </c>
      <c r="R25" s="119"/>
    </row>
    <row r="26" spans="2:18" ht="15.75" x14ac:dyDescent="0.25">
      <c r="B26" s="143" t="s">
        <v>77</v>
      </c>
      <c r="C26" s="146">
        <v>1</v>
      </c>
      <c r="D26" s="146">
        <v>1</v>
      </c>
      <c r="E26" s="146"/>
      <c r="F26" s="146">
        <v>633</v>
      </c>
      <c r="G26" s="143" t="s">
        <v>30</v>
      </c>
      <c r="H26" s="146" t="s">
        <v>87</v>
      </c>
      <c r="I26" s="161">
        <v>0</v>
      </c>
      <c r="J26" s="161">
        <v>788</v>
      </c>
      <c r="K26" s="161">
        <v>1000</v>
      </c>
      <c r="L26" s="164">
        <v>0</v>
      </c>
      <c r="M26" s="183">
        <v>0</v>
      </c>
      <c r="N26" s="172">
        <v>800</v>
      </c>
      <c r="O26" s="182">
        <f t="shared" si="0"/>
        <v>800</v>
      </c>
      <c r="P26" s="161">
        <v>800</v>
      </c>
      <c r="Q26" s="161">
        <v>800</v>
      </c>
      <c r="R26" s="119"/>
    </row>
    <row r="27" spans="2:18" ht="15.75" x14ac:dyDescent="0.25">
      <c r="B27" s="143" t="s">
        <v>77</v>
      </c>
      <c r="C27" s="146">
        <v>1</v>
      </c>
      <c r="D27" s="146">
        <v>1</v>
      </c>
      <c r="E27" s="146"/>
      <c r="F27" s="146">
        <v>633</v>
      </c>
      <c r="G27" s="143" t="s">
        <v>31</v>
      </c>
      <c r="H27" s="146" t="s">
        <v>88</v>
      </c>
      <c r="I27" s="161">
        <v>901</v>
      </c>
      <c r="J27" s="161">
        <v>0</v>
      </c>
      <c r="K27" s="161">
        <v>1000</v>
      </c>
      <c r="L27" s="164">
        <v>906</v>
      </c>
      <c r="M27" s="183">
        <v>0</v>
      </c>
      <c r="N27" s="172">
        <v>0</v>
      </c>
      <c r="O27" s="182">
        <f t="shared" si="0"/>
        <v>0</v>
      </c>
      <c r="P27" s="161">
        <v>0</v>
      </c>
      <c r="Q27" s="161">
        <v>0</v>
      </c>
      <c r="R27" s="119"/>
    </row>
    <row r="28" spans="2:18" ht="31.5" x14ac:dyDescent="0.25">
      <c r="B28" s="143" t="s">
        <v>77</v>
      </c>
      <c r="C28" s="146">
        <v>1</v>
      </c>
      <c r="D28" s="146">
        <v>1</v>
      </c>
      <c r="E28" s="146"/>
      <c r="F28" s="146">
        <v>633</v>
      </c>
      <c r="G28" s="143" t="s">
        <v>34</v>
      </c>
      <c r="H28" s="178" t="s">
        <v>89</v>
      </c>
      <c r="I28" s="161">
        <v>1969.99</v>
      </c>
      <c r="J28" s="161">
        <v>0</v>
      </c>
      <c r="K28" s="161">
        <v>0</v>
      </c>
      <c r="L28" s="164">
        <v>0</v>
      </c>
      <c r="M28" s="183">
        <v>0</v>
      </c>
      <c r="N28" s="172">
        <v>0</v>
      </c>
      <c r="O28" s="182">
        <f t="shared" si="0"/>
        <v>0</v>
      </c>
      <c r="P28" s="161">
        <v>0</v>
      </c>
      <c r="Q28" s="161">
        <v>0</v>
      </c>
      <c r="R28" s="119"/>
    </row>
    <row r="29" spans="2:18" ht="15.75" x14ac:dyDescent="0.25">
      <c r="B29" s="143" t="s">
        <v>77</v>
      </c>
      <c r="C29" s="146">
        <v>1</v>
      </c>
      <c r="D29" s="146">
        <v>1</v>
      </c>
      <c r="E29" s="146"/>
      <c r="F29" s="146">
        <v>633</v>
      </c>
      <c r="G29" s="143" t="s">
        <v>35</v>
      </c>
      <c r="H29" s="146" t="s">
        <v>90</v>
      </c>
      <c r="I29" s="161">
        <v>3286.73</v>
      </c>
      <c r="J29" s="161">
        <v>4311.68</v>
      </c>
      <c r="K29" s="161">
        <v>3500</v>
      </c>
      <c r="L29" s="164">
        <v>1892.11</v>
      </c>
      <c r="M29" s="183">
        <v>0</v>
      </c>
      <c r="N29" s="172">
        <v>2000</v>
      </c>
      <c r="O29" s="182">
        <f t="shared" si="0"/>
        <v>2000</v>
      </c>
      <c r="P29" s="161">
        <v>2000</v>
      </c>
      <c r="Q29" s="161">
        <v>2100</v>
      </c>
      <c r="R29" s="119"/>
    </row>
    <row r="30" spans="2:18" ht="15.75" x14ac:dyDescent="0.25">
      <c r="B30" s="143" t="s">
        <v>77</v>
      </c>
      <c r="C30" s="146">
        <v>1</v>
      </c>
      <c r="D30" s="146">
        <v>1</v>
      </c>
      <c r="E30" s="146"/>
      <c r="F30" s="146">
        <v>633</v>
      </c>
      <c r="G30" s="143" t="s">
        <v>108</v>
      </c>
      <c r="H30" s="146" t="s">
        <v>91</v>
      </c>
      <c r="I30" s="161">
        <v>0</v>
      </c>
      <c r="J30" s="161">
        <v>0</v>
      </c>
      <c r="K30" s="161">
        <v>0</v>
      </c>
      <c r="L30" s="164">
        <v>0</v>
      </c>
      <c r="M30" s="183">
        <v>0</v>
      </c>
      <c r="N30" s="172">
        <v>0</v>
      </c>
      <c r="O30" s="182">
        <f t="shared" si="0"/>
        <v>0</v>
      </c>
      <c r="P30" s="161">
        <v>0</v>
      </c>
      <c r="Q30" s="161">
        <v>0</v>
      </c>
      <c r="R30" s="119"/>
    </row>
    <row r="31" spans="2:18" ht="31.5" x14ac:dyDescent="0.25">
      <c r="B31" s="143" t="s">
        <v>77</v>
      </c>
      <c r="C31" s="146">
        <v>1</v>
      </c>
      <c r="D31" s="146">
        <v>1</v>
      </c>
      <c r="E31" s="146"/>
      <c r="F31" s="146">
        <v>633</v>
      </c>
      <c r="G31" s="143" t="s">
        <v>124</v>
      </c>
      <c r="H31" s="178" t="s">
        <v>92</v>
      </c>
      <c r="I31" s="161">
        <v>1953.51</v>
      </c>
      <c r="J31" s="161">
        <v>1795.11</v>
      </c>
      <c r="K31" s="161">
        <v>2000</v>
      </c>
      <c r="L31" s="164">
        <v>688.3</v>
      </c>
      <c r="M31" s="183">
        <v>0</v>
      </c>
      <c r="N31" s="172">
        <v>1000</v>
      </c>
      <c r="O31" s="182">
        <f t="shared" si="0"/>
        <v>1000</v>
      </c>
      <c r="P31" s="161">
        <v>1000</v>
      </c>
      <c r="Q31" s="161">
        <v>1000</v>
      </c>
      <c r="R31" s="119"/>
    </row>
    <row r="32" spans="2:18" ht="15.75" x14ac:dyDescent="0.25">
      <c r="B32" s="143" t="s">
        <v>77</v>
      </c>
      <c r="C32" s="146">
        <v>1</v>
      </c>
      <c r="D32" s="146">
        <v>1</v>
      </c>
      <c r="E32" s="146"/>
      <c r="F32" s="146">
        <v>633</v>
      </c>
      <c r="G32" s="143" t="s">
        <v>125</v>
      </c>
      <c r="H32" s="146" t="s">
        <v>93</v>
      </c>
      <c r="I32" s="161">
        <v>0</v>
      </c>
      <c r="J32" s="161">
        <v>0</v>
      </c>
      <c r="K32" s="161">
        <v>0</v>
      </c>
      <c r="L32" s="164">
        <v>0</v>
      </c>
      <c r="M32" s="183">
        <v>0</v>
      </c>
      <c r="N32" s="172">
        <v>0</v>
      </c>
      <c r="O32" s="182">
        <f t="shared" si="0"/>
        <v>0</v>
      </c>
      <c r="P32" s="161">
        <v>0</v>
      </c>
      <c r="Q32" s="161">
        <v>0</v>
      </c>
      <c r="R32" s="119"/>
    </row>
    <row r="33" spans="2:18" ht="15.75" x14ac:dyDescent="0.25">
      <c r="B33" s="143" t="s">
        <v>77</v>
      </c>
      <c r="C33" s="146">
        <v>1</v>
      </c>
      <c r="D33" s="146">
        <v>1</v>
      </c>
      <c r="E33" s="146"/>
      <c r="F33" s="146">
        <v>633</v>
      </c>
      <c r="G33" s="143" t="s">
        <v>39</v>
      </c>
      <c r="H33" s="146" t="s">
        <v>94</v>
      </c>
      <c r="I33" s="161">
        <v>360.27</v>
      </c>
      <c r="J33" s="161">
        <v>514.70000000000005</v>
      </c>
      <c r="K33" s="161">
        <v>400</v>
      </c>
      <c r="L33" s="164">
        <v>500.45</v>
      </c>
      <c r="M33" s="185">
        <v>0</v>
      </c>
      <c r="N33" s="172">
        <v>550</v>
      </c>
      <c r="O33" s="182">
        <f t="shared" si="0"/>
        <v>550</v>
      </c>
      <c r="P33" s="161">
        <v>560</v>
      </c>
      <c r="Q33" s="161">
        <v>570</v>
      </c>
      <c r="R33" s="119"/>
    </row>
    <row r="34" spans="2:18" ht="15.75" x14ac:dyDescent="0.25">
      <c r="B34" s="143" t="s">
        <v>77</v>
      </c>
      <c r="C34" s="146">
        <v>1</v>
      </c>
      <c r="D34" s="146">
        <v>1</v>
      </c>
      <c r="E34" s="146"/>
      <c r="F34" s="146">
        <v>633</v>
      </c>
      <c r="G34" s="143" t="s">
        <v>33</v>
      </c>
      <c r="H34" s="146" t="s">
        <v>95</v>
      </c>
      <c r="I34" s="161">
        <v>0</v>
      </c>
      <c r="J34" s="161">
        <v>0</v>
      </c>
      <c r="K34" s="161">
        <v>500</v>
      </c>
      <c r="L34" s="164">
        <v>876</v>
      </c>
      <c r="M34" s="183">
        <v>0</v>
      </c>
      <c r="N34" s="172">
        <v>1000</v>
      </c>
      <c r="O34" s="182">
        <f t="shared" si="0"/>
        <v>1000</v>
      </c>
      <c r="P34" s="161">
        <v>1000</v>
      </c>
      <c r="Q34" s="161">
        <v>1000</v>
      </c>
      <c r="R34" s="119"/>
    </row>
    <row r="35" spans="2:18" ht="15.75" x14ac:dyDescent="0.25">
      <c r="B35" s="143" t="s">
        <v>77</v>
      </c>
      <c r="C35" s="146">
        <v>1</v>
      </c>
      <c r="D35" s="146">
        <v>1</v>
      </c>
      <c r="E35" s="146"/>
      <c r="F35" s="146">
        <v>633</v>
      </c>
      <c r="G35" s="143" t="s">
        <v>126</v>
      </c>
      <c r="H35" s="146" t="s">
        <v>96</v>
      </c>
      <c r="I35" s="161">
        <v>0</v>
      </c>
      <c r="J35" s="161">
        <v>0</v>
      </c>
      <c r="K35" s="161">
        <v>500</v>
      </c>
      <c r="L35" s="164">
        <v>209.91</v>
      </c>
      <c r="M35" s="183">
        <v>0</v>
      </c>
      <c r="N35" s="172">
        <v>200</v>
      </c>
      <c r="O35" s="182">
        <f t="shared" si="0"/>
        <v>200</v>
      </c>
      <c r="P35" s="161">
        <v>200</v>
      </c>
      <c r="Q35" s="161">
        <v>200</v>
      </c>
      <c r="R35" s="119"/>
    </row>
    <row r="36" spans="2:18" ht="15.75" x14ac:dyDescent="0.25">
      <c r="B36" s="143" t="s">
        <v>77</v>
      </c>
      <c r="C36" s="146">
        <v>1</v>
      </c>
      <c r="D36" s="146">
        <v>1</v>
      </c>
      <c r="E36" s="146"/>
      <c r="F36" s="146">
        <v>634</v>
      </c>
      <c r="G36" s="143" t="s">
        <v>30</v>
      </c>
      <c r="H36" s="146" t="s">
        <v>97</v>
      </c>
      <c r="I36" s="161">
        <v>770.23</v>
      </c>
      <c r="J36" s="161">
        <v>874.72</v>
      </c>
      <c r="K36" s="161">
        <v>1200</v>
      </c>
      <c r="L36" s="164">
        <v>1373.37</v>
      </c>
      <c r="M36" s="183">
        <v>0</v>
      </c>
      <c r="N36" s="172">
        <v>800</v>
      </c>
      <c r="O36" s="182">
        <f t="shared" si="0"/>
        <v>800</v>
      </c>
      <c r="P36" s="161">
        <v>800</v>
      </c>
      <c r="Q36" s="161">
        <v>800</v>
      </c>
      <c r="R36" s="119"/>
    </row>
    <row r="37" spans="2:18" ht="15.75" x14ac:dyDescent="0.25">
      <c r="B37" s="143" t="s">
        <v>77</v>
      </c>
      <c r="C37" s="146">
        <v>1</v>
      </c>
      <c r="D37" s="146">
        <v>1</v>
      </c>
      <c r="E37" s="146"/>
      <c r="F37" s="146">
        <v>634</v>
      </c>
      <c r="G37" s="143" t="s">
        <v>31</v>
      </c>
      <c r="H37" s="146" t="s">
        <v>98</v>
      </c>
      <c r="I37" s="161">
        <v>712.46</v>
      </c>
      <c r="J37" s="161">
        <v>433.48</v>
      </c>
      <c r="K37" s="161">
        <v>1000</v>
      </c>
      <c r="L37" s="164">
        <v>145.52000000000001</v>
      </c>
      <c r="M37" s="183">
        <v>0</v>
      </c>
      <c r="N37" s="172">
        <v>300</v>
      </c>
      <c r="O37" s="182">
        <f t="shared" si="0"/>
        <v>300</v>
      </c>
      <c r="P37" s="161">
        <v>300</v>
      </c>
      <c r="Q37" s="161">
        <v>300</v>
      </c>
      <c r="R37" s="119"/>
    </row>
    <row r="38" spans="2:18" ht="15.75" x14ac:dyDescent="0.25">
      <c r="B38" s="143" t="s">
        <v>77</v>
      </c>
      <c r="C38" s="146">
        <v>1</v>
      </c>
      <c r="D38" s="146">
        <v>1</v>
      </c>
      <c r="E38" s="146"/>
      <c r="F38" s="146">
        <v>634</v>
      </c>
      <c r="G38" s="143" t="s">
        <v>29</v>
      </c>
      <c r="H38" s="146" t="s">
        <v>99</v>
      </c>
      <c r="I38" s="161">
        <v>556.80999999999995</v>
      </c>
      <c r="J38" s="161">
        <v>544.98</v>
      </c>
      <c r="K38" s="161">
        <v>600</v>
      </c>
      <c r="L38" s="164">
        <v>556.80999999999995</v>
      </c>
      <c r="M38" s="183">
        <v>0</v>
      </c>
      <c r="N38" s="172">
        <v>570</v>
      </c>
      <c r="O38" s="182">
        <f t="shared" si="0"/>
        <v>570</v>
      </c>
      <c r="P38" s="161">
        <v>570</v>
      </c>
      <c r="Q38" s="161">
        <v>570</v>
      </c>
      <c r="R38" s="119"/>
    </row>
    <row r="39" spans="2:18" ht="15.75" x14ac:dyDescent="0.25">
      <c r="B39" s="143" t="s">
        <v>77</v>
      </c>
      <c r="C39" s="146">
        <v>1</v>
      </c>
      <c r="D39" s="146">
        <v>1</v>
      </c>
      <c r="E39" s="146"/>
      <c r="F39" s="146">
        <v>634</v>
      </c>
      <c r="G39" s="143" t="s">
        <v>34</v>
      </c>
      <c r="H39" s="146" t="s">
        <v>356</v>
      </c>
      <c r="I39" s="161">
        <v>0</v>
      </c>
      <c r="J39" s="161">
        <v>144</v>
      </c>
      <c r="K39" s="161">
        <v>0</v>
      </c>
      <c r="L39" s="164">
        <v>0</v>
      </c>
      <c r="M39" s="183">
        <v>0</v>
      </c>
      <c r="N39" s="172">
        <v>0</v>
      </c>
      <c r="O39" s="182">
        <f t="shared" si="0"/>
        <v>0</v>
      </c>
      <c r="P39" s="161">
        <v>0</v>
      </c>
      <c r="Q39" s="161">
        <v>0</v>
      </c>
      <c r="R39" s="119"/>
    </row>
    <row r="40" spans="2:18" ht="15.75" x14ac:dyDescent="0.25">
      <c r="B40" s="143" t="s">
        <v>77</v>
      </c>
      <c r="C40" s="146">
        <v>1</v>
      </c>
      <c r="D40" s="146">
        <v>1</v>
      </c>
      <c r="E40" s="146"/>
      <c r="F40" s="146">
        <v>634</v>
      </c>
      <c r="G40" s="143" t="s">
        <v>107</v>
      </c>
      <c r="H40" s="146" t="s">
        <v>100</v>
      </c>
      <c r="I40" s="161">
        <v>12.67</v>
      </c>
      <c r="J40" s="161">
        <v>1</v>
      </c>
      <c r="K40" s="161">
        <v>100</v>
      </c>
      <c r="L40" s="164">
        <v>14.1</v>
      </c>
      <c r="M40" s="183">
        <v>0</v>
      </c>
      <c r="N40" s="172">
        <v>50</v>
      </c>
      <c r="O40" s="182">
        <f t="shared" si="0"/>
        <v>50</v>
      </c>
      <c r="P40" s="161">
        <v>50</v>
      </c>
      <c r="Q40" s="161">
        <v>60</v>
      </c>
      <c r="R40" s="119"/>
    </row>
    <row r="41" spans="2:18" ht="15.75" x14ac:dyDescent="0.25">
      <c r="B41" s="143" t="s">
        <v>77</v>
      </c>
      <c r="C41" s="146">
        <v>1</v>
      </c>
      <c r="D41" s="146">
        <v>1</v>
      </c>
      <c r="E41" s="146"/>
      <c r="F41" s="146">
        <v>635</v>
      </c>
      <c r="G41" s="143" t="s">
        <v>31</v>
      </c>
      <c r="H41" s="146" t="s">
        <v>101</v>
      </c>
      <c r="I41" s="161">
        <v>0</v>
      </c>
      <c r="J41" s="161">
        <v>0</v>
      </c>
      <c r="K41" s="161">
        <v>1000</v>
      </c>
      <c r="L41" s="164">
        <v>18.91</v>
      </c>
      <c r="M41" s="183">
        <v>0</v>
      </c>
      <c r="N41" s="172">
        <v>500</v>
      </c>
      <c r="O41" s="182">
        <f t="shared" si="0"/>
        <v>500</v>
      </c>
      <c r="P41" s="161">
        <v>500</v>
      </c>
      <c r="Q41" s="161">
        <v>500</v>
      </c>
      <c r="R41" s="119"/>
    </row>
    <row r="42" spans="2:18" ht="31.5" x14ac:dyDescent="0.25">
      <c r="B42" s="143" t="s">
        <v>77</v>
      </c>
      <c r="C42" s="146">
        <v>1</v>
      </c>
      <c r="D42" s="146">
        <v>1</v>
      </c>
      <c r="E42" s="146"/>
      <c r="F42" s="146">
        <v>635</v>
      </c>
      <c r="G42" s="143" t="s">
        <v>34</v>
      </c>
      <c r="H42" s="178" t="s">
        <v>102</v>
      </c>
      <c r="I42" s="161">
        <v>125</v>
      </c>
      <c r="J42" s="161">
        <v>0</v>
      </c>
      <c r="K42" s="161">
        <v>500</v>
      </c>
      <c r="L42" s="164">
        <v>200</v>
      </c>
      <c r="M42" s="183">
        <v>0</v>
      </c>
      <c r="N42" s="172">
        <v>500</v>
      </c>
      <c r="O42" s="182">
        <f t="shared" si="0"/>
        <v>500</v>
      </c>
      <c r="P42" s="161">
        <v>500</v>
      </c>
      <c r="Q42" s="161">
        <v>500</v>
      </c>
      <c r="R42" s="119"/>
    </row>
    <row r="43" spans="2:18" ht="15.75" x14ac:dyDescent="0.25">
      <c r="B43" s="143" t="s">
        <v>77</v>
      </c>
      <c r="C43" s="146">
        <v>1</v>
      </c>
      <c r="D43" s="146">
        <v>1</v>
      </c>
      <c r="E43" s="146"/>
      <c r="F43" s="146">
        <v>635</v>
      </c>
      <c r="G43" s="143" t="s">
        <v>35</v>
      </c>
      <c r="H43" s="178" t="s">
        <v>103</v>
      </c>
      <c r="I43" s="161">
        <v>0</v>
      </c>
      <c r="J43" s="161">
        <v>0</v>
      </c>
      <c r="K43" s="161">
        <v>3000</v>
      </c>
      <c r="L43" s="164">
        <v>0</v>
      </c>
      <c r="M43" s="183">
        <v>0</v>
      </c>
      <c r="N43" s="172">
        <v>1500</v>
      </c>
      <c r="O43" s="182">
        <f t="shared" si="0"/>
        <v>1500</v>
      </c>
      <c r="P43" s="161">
        <v>1500</v>
      </c>
      <c r="Q43" s="161">
        <v>1500</v>
      </c>
      <c r="R43" s="119"/>
    </row>
    <row r="44" spans="2:18" ht="15.75" x14ac:dyDescent="0.25">
      <c r="B44" s="143" t="s">
        <v>77</v>
      </c>
      <c r="C44" s="146">
        <v>1</v>
      </c>
      <c r="D44" s="146">
        <v>1</v>
      </c>
      <c r="E44" s="146"/>
      <c r="F44" s="146">
        <v>635</v>
      </c>
      <c r="G44" s="143" t="s">
        <v>124</v>
      </c>
      <c r="H44" s="146" t="s">
        <v>104</v>
      </c>
      <c r="I44" s="161">
        <v>705.72</v>
      </c>
      <c r="J44" s="161">
        <v>1221</v>
      </c>
      <c r="K44" s="161">
        <v>1000</v>
      </c>
      <c r="L44" s="164">
        <v>0</v>
      </c>
      <c r="M44" s="183">
        <v>0</v>
      </c>
      <c r="N44" s="172">
        <v>300</v>
      </c>
      <c r="O44" s="182">
        <f t="shared" si="0"/>
        <v>300</v>
      </c>
      <c r="P44" s="161">
        <v>300</v>
      </c>
      <c r="Q44" s="161">
        <v>300</v>
      </c>
      <c r="R44" s="119"/>
    </row>
    <row r="45" spans="2:18" ht="15.75" x14ac:dyDescent="0.25">
      <c r="B45" s="143" t="s">
        <v>77</v>
      </c>
      <c r="C45" s="146">
        <v>1</v>
      </c>
      <c r="D45" s="146">
        <v>1</v>
      </c>
      <c r="E45" s="146"/>
      <c r="F45" s="146">
        <v>635</v>
      </c>
      <c r="G45" s="143" t="s">
        <v>125</v>
      </c>
      <c r="H45" s="178" t="s">
        <v>304</v>
      </c>
      <c r="I45" s="161">
        <v>0</v>
      </c>
      <c r="J45" s="161">
        <v>78</v>
      </c>
      <c r="K45" s="161">
        <v>0</v>
      </c>
      <c r="L45" s="164">
        <v>0</v>
      </c>
      <c r="M45" s="183">
        <v>0</v>
      </c>
      <c r="N45" s="172">
        <v>0</v>
      </c>
      <c r="O45" s="182">
        <f t="shared" si="0"/>
        <v>0</v>
      </c>
      <c r="P45" s="161">
        <v>0</v>
      </c>
      <c r="Q45" s="161">
        <v>0</v>
      </c>
      <c r="R45" s="119"/>
    </row>
    <row r="46" spans="2:18" ht="31.5" x14ac:dyDescent="0.25">
      <c r="B46" s="143" t="s">
        <v>77</v>
      </c>
      <c r="C46" s="146">
        <v>1</v>
      </c>
      <c r="D46" s="146">
        <v>1</v>
      </c>
      <c r="E46" s="146"/>
      <c r="F46" s="146">
        <v>635</v>
      </c>
      <c r="G46" s="143" t="s">
        <v>39</v>
      </c>
      <c r="H46" s="178" t="s">
        <v>359</v>
      </c>
      <c r="I46" s="161">
        <v>0</v>
      </c>
      <c r="J46" s="161">
        <v>0</v>
      </c>
      <c r="K46" s="161">
        <v>0</v>
      </c>
      <c r="L46" s="164">
        <v>2912.92</v>
      </c>
      <c r="M46" s="183">
        <v>0</v>
      </c>
      <c r="N46" s="172">
        <v>2900</v>
      </c>
      <c r="O46" s="182">
        <f t="shared" si="0"/>
        <v>2900</v>
      </c>
      <c r="P46" s="161">
        <v>2950</v>
      </c>
      <c r="Q46" s="161">
        <v>3000</v>
      </c>
      <c r="R46" s="119"/>
    </row>
    <row r="47" spans="2:18" ht="15.75" x14ac:dyDescent="0.25">
      <c r="B47" s="143" t="s">
        <v>77</v>
      </c>
      <c r="C47" s="146">
        <v>1</v>
      </c>
      <c r="D47" s="146">
        <v>1</v>
      </c>
      <c r="E47" s="146"/>
      <c r="F47" s="146">
        <v>636</v>
      </c>
      <c r="G47" s="143" t="s">
        <v>30</v>
      </c>
      <c r="H47" s="178" t="s">
        <v>328</v>
      </c>
      <c r="I47" s="161">
        <v>0</v>
      </c>
      <c r="J47" s="161">
        <v>1.36</v>
      </c>
      <c r="K47" s="161">
        <v>0</v>
      </c>
      <c r="L47" s="164">
        <v>0</v>
      </c>
      <c r="M47" s="183">
        <v>0</v>
      </c>
      <c r="N47" s="172">
        <v>0</v>
      </c>
      <c r="O47" s="182">
        <f t="shared" si="0"/>
        <v>0</v>
      </c>
      <c r="P47" s="161">
        <v>0</v>
      </c>
      <c r="Q47" s="161">
        <v>0</v>
      </c>
      <c r="R47" s="119"/>
    </row>
    <row r="48" spans="2:18" ht="31.5" x14ac:dyDescent="0.25">
      <c r="B48" s="143" t="s">
        <v>77</v>
      </c>
      <c r="C48" s="146">
        <v>1</v>
      </c>
      <c r="D48" s="146">
        <v>1</v>
      </c>
      <c r="E48" s="146"/>
      <c r="F48" s="146">
        <v>636</v>
      </c>
      <c r="G48" s="143" t="s">
        <v>31</v>
      </c>
      <c r="H48" s="178" t="s">
        <v>105</v>
      </c>
      <c r="I48" s="161">
        <v>0</v>
      </c>
      <c r="J48" s="161">
        <v>90.24</v>
      </c>
      <c r="K48" s="161">
        <v>700</v>
      </c>
      <c r="L48" s="164">
        <v>1595.07</v>
      </c>
      <c r="M48" s="183">
        <v>0</v>
      </c>
      <c r="N48" s="172">
        <v>1400</v>
      </c>
      <c r="O48" s="182">
        <f t="shared" si="0"/>
        <v>1400</v>
      </c>
      <c r="P48" s="161">
        <v>1500</v>
      </c>
      <c r="Q48" s="161">
        <v>1550</v>
      </c>
      <c r="R48" s="119"/>
    </row>
    <row r="49" spans="2:18" ht="15.75" x14ac:dyDescent="0.25">
      <c r="B49" s="143" t="s">
        <v>77</v>
      </c>
      <c r="C49" s="146">
        <v>1</v>
      </c>
      <c r="D49" s="146">
        <v>1</v>
      </c>
      <c r="E49" s="146"/>
      <c r="F49" s="146">
        <v>637</v>
      </c>
      <c r="G49" s="143" t="s">
        <v>30</v>
      </c>
      <c r="H49" s="178" t="s">
        <v>109</v>
      </c>
      <c r="I49" s="161">
        <v>45</v>
      </c>
      <c r="J49" s="161">
        <v>159.63999999999999</v>
      </c>
      <c r="K49" s="161">
        <v>200</v>
      </c>
      <c r="L49" s="164">
        <v>184</v>
      </c>
      <c r="M49" s="183">
        <v>0</v>
      </c>
      <c r="N49" s="172">
        <v>300</v>
      </c>
      <c r="O49" s="182">
        <f t="shared" si="0"/>
        <v>300</v>
      </c>
      <c r="P49" s="161">
        <v>200</v>
      </c>
      <c r="Q49" s="161">
        <v>200</v>
      </c>
      <c r="R49" s="119"/>
    </row>
    <row r="50" spans="2:18" ht="15.75" x14ac:dyDescent="0.25">
      <c r="B50" s="143" t="s">
        <v>77</v>
      </c>
      <c r="C50" s="146">
        <v>1</v>
      </c>
      <c r="D50" s="146">
        <v>1</v>
      </c>
      <c r="E50" s="146"/>
      <c r="F50" s="146">
        <v>637</v>
      </c>
      <c r="G50" s="143" t="s">
        <v>29</v>
      </c>
      <c r="H50" s="178" t="s">
        <v>110</v>
      </c>
      <c r="I50" s="161">
        <v>430.4</v>
      </c>
      <c r="J50" s="161">
        <v>420.4</v>
      </c>
      <c r="K50" s="161">
        <v>450</v>
      </c>
      <c r="L50" s="164">
        <v>0</v>
      </c>
      <c r="M50" s="183">
        <v>0</v>
      </c>
      <c r="N50" s="172">
        <v>50</v>
      </c>
      <c r="O50" s="182">
        <f t="shared" si="0"/>
        <v>50</v>
      </c>
      <c r="P50" s="161">
        <v>50</v>
      </c>
      <c r="Q50" s="161">
        <v>50</v>
      </c>
      <c r="R50" s="119"/>
    </row>
    <row r="51" spans="2:18" ht="15.75" x14ac:dyDescent="0.25">
      <c r="B51" s="143" t="s">
        <v>77</v>
      </c>
      <c r="C51" s="146">
        <v>1</v>
      </c>
      <c r="D51" s="146">
        <v>1</v>
      </c>
      <c r="E51" s="146"/>
      <c r="F51" s="146">
        <v>637</v>
      </c>
      <c r="G51" s="143" t="s">
        <v>34</v>
      </c>
      <c r="H51" s="178" t="s">
        <v>111</v>
      </c>
      <c r="I51" s="161">
        <v>9138</v>
      </c>
      <c r="J51" s="161">
        <v>14347.74</v>
      </c>
      <c r="K51" s="161">
        <v>11000</v>
      </c>
      <c r="L51" s="164">
        <v>10796.47</v>
      </c>
      <c r="M51" s="183">
        <v>0</v>
      </c>
      <c r="N51" s="172">
        <v>11200</v>
      </c>
      <c r="O51" s="182">
        <f t="shared" si="0"/>
        <v>11200</v>
      </c>
      <c r="P51" s="161">
        <v>11250</v>
      </c>
      <c r="Q51" s="161">
        <v>11300</v>
      </c>
      <c r="R51" s="119"/>
    </row>
    <row r="52" spans="2:18" ht="15.75" x14ac:dyDescent="0.25">
      <c r="B52" s="143" t="s">
        <v>77</v>
      </c>
      <c r="C52" s="146">
        <v>1</v>
      </c>
      <c r="D52" s="146">
        <v>1</v>
      </c>
      <c r="E52" s="146"/>
      <c r="F52" s="146">
        <v>637</v>
      </c>
      <c r="G52" s="143" t="s">
        <v>107</v>
      </c>
      <c r="H52" s="178" t="s">
        <v>112</v>
      </c>
      <c r="I52" s="161">
        <v>7760.99</v>
      </c>
      <c r="J52" s="161">
        <v>7140</v>
      </c>
      <c r="K52" s="161">
        <v>6000</v>
      </c>
      <c r="L52" s="164">
        <v>8680</v>
      </c>
      <c r="M52" s="183">
        <v>0</v>
      </c>
      <c r="N52" s="172">
        <v>6500</v>
      </c>
      <c r="O52" s="182">
        <f t="shared" si="0"/>
        <v>6500</v>
      </c>
      <c r="P52" s="161">
        <v>6600</v>
      </c>
      <c r="Q52" s="161">
        <v>6650</v>
      </c>
      <c r="R52" s="119"/>
    </row>
    <row r="53" spans="2:18" ht="15.75" x14ac:dyDescent="0.25">
      <c r="B53" s="143" t="s">
        <v>77</v>
      </c>
      <c r="C53" s="146">
        <v>1</v>
      </c>
      <c r="D53" s="146">
        <v>1</v>
      </c>
      <c r="E53" s="146"/>
      <c r="F53" s="146">
        <v>637</v>
      </c>
      <c r="G53" s="143" t="s">
        <v>108</v>
      </c>
      <c r="H53" s="178" t="s">
        <v>113</v>
      </c>
      <c r="I53" s="161">
        <v>800</v>
      </c>
      <c r="J53" s="161">
        <v>0</v>
      </c>
      <c r="K53" s="161">
        <v>0</v>
      </c>
      <c r="L53" s="164">
        <v>0</v>
      </c>
      <c r="M53" s="183">
        <v>0</v>
      </c>
      <c r="N53" s="172">
        <v>0</v>
      </c>
      <c r="O53" s="182">
        <f t="shared" si="0"/>
        <v>0</v>
      </c>
      <c r="P53" s="161">
        <v>0</v>
      </c>
      <c r="Q53" s="161">
        <v>0</v>
      </c>
      <c r="R53" s="119"/>
    </row>
    <row r="54" spans="2:18" ht="15.75" x14ac:dyDescent="0.25">
      <c r="B54" s="143" t="s">
        <v>77</v>
      </c>
      <c r="C54" s="146">
        <v>1</v>
      </c>
      <c r="D54" s="146">
        <v>1</v>
      </c>
      <c r="E54" s="146"/>
      <c r="F54" s="146">
        <v>637</v>
      </c>
      <c r="G54" s="143" t="s">
        <v>32</v>
      </c>
      <c r="H54" s="178" t="s">
        <v>114</v>
      </c>
      <c r="I54" s="161">
        <v>0</v>
      </c>
      <c r="J54" s="161">
        <v>1.6</v>
      </c>
      <c r="K54" s="161">
        <v>300</v>
      </c>
      <c r="L54" s="164">
        <v>20.399999999999999</v>
      </c>
      <c r="M54" s="183">
        <v>0</v>
      </c>
      <c r="N54" s="172">
        <v>100</v>
      </c>
      <c r="O54" s="182">
        <f t="shared" si="0"/>
        <v>100</v>
      </c>
      <c r="P54" s="161">
        <v>100</v>
      </c>
      <c r="Q54" s="161">
        <v>100</v>
      </c>
      <c r="R54" s="119"/>
    </row>
    <row r="55" spans="2:18" ht="15.75" x14ac:dyDescent="0.25">
      <c r="B55" s="143" t="s">
        <v>77</v>
      </c>
      <c r="C55" s="146">
        <v>1</v>
      </c>
      <c r="D55" s="146">
        <v>1</v>
      </c>
      <c r="E55" s="146"/>
      <c r="F55" s="146">
        <v>637</v>
      </c>
      <c r="G55" s="143" t="s">
        <v>127</v>
      </c>
      <c r="H55" s="178" t="s">
        <v>115</v>
      </c>
      <c r="I55" s="161">
        <v>1576.13</v>
      </c>
      <c r="J55" s="161">
        <v>1276.48</v>
      </c>
      <c r="K55" s="161">
        <v>1800</v>
      </c>
      <c r="L55" s="164">
        <v>2232.02</v>
      </c>
      <c r="M55" s="183">
        <v>0</v>
      </c>
      <c r="N55" s="172">
        <v>2200</v>
      </c>
      <c r="O55" s="182">
        <f t="shared" si="0"/>
        <v>2200</v>
      </c>
      <c r="P55" s="161">
        <v>2200</v>
      </c>
      <c r="Q55" s="161">
        <v>2200</v>
      </c>
      <c r="R55" s="119"/>
    </row>
    <row r="56" spans="2:18" ht="15.75" x14ac:dyDescent="0.25">
      <c r="B56" s="143" t="s">
        <v>77</v>
      </c>
      <c r="C56" s="146">
        <v>1</v>
      </c>
      <c r="D56" s="146">
        <v>1</v>
      </c>
      <c r="E56" s="146"/>
      <c r="F56" s="146">
        <v>637</v>
      </c>
      <c r="G56" s="143" t="s">
        <v>126</v>
      </c>
      <c r="H56" s="146" t="s">
        <v>382</v>
      </c>
      <c r="I56" s="161">
        <v>588.67999999999995</v>
      </c>
      <c r="J56" s="161">
        <v>569.91999999999996</v>
      </c>
      <c r="K56" s="161">
        <v>600</v>
      </c>
      <c r="L56" s="164">
        <v>771.59</v>
      </c>
      <c r="M56" s="183">
        <v>0</v>
      </c>
      <c r="N56" s="172">
        <v>1002.12</v>
      </c>
      <c r="O56" s="182">
        <f t="shared" si="0"/>
        <v>1002.12</v>
      </c>
      <c r="P56" s="161">
        <v>1005</v>
      </c>
      <c r="Q56" s="161">
        <v>1005</v>
      </c>
      <c r="R56" s="119"/>
    </row>
    <row r="57" spans="2:18" ht="36.75" customHeight="1" x14ac:dyDescent="0.25">
      <c r="B57" s="143" t="s">
        <v>77</v>
      </c>
      <c r="C57" s="146">
        <v>1</v>
      </c>
      <c r="D57" s="146">
        <v>1</v>
      </c>
      <c r="E57" s="146"/>
      <c r="F57" s="146">
        <v>637</v>
      </c>
      <c r="G57" s="143" t="s">
        <v>38</v>
      </c>
      <c r="H57" s="292" t="s">
        <v>250</v>
      </c>
      <c r="I57" s="161">
        <v>4964.75</v>
      </c>
      <c r="J57" s="161">
        <f>3724+9921.78</f>
        <v>13645.78</v>
      </c>
      <c r="K57" s="161">
        <v>6100</v>
      </c>
      <c r="L57" s="164">
        <v>5902.19</v>
      </c>
      <c r="M57" s="183">
        <v>0</v>
      </c>
      <c r="N57" s="172">
        <v>6640</v>
      </c>
      <c r="O57" s="182">
        <f t="shared" si="0"/>
        <v>6640</v>
      </c>
      <c r="P57" s="161">
        <v>6640</v>
      </c>
      <c r="Q57" s="161">
        <v>6640</v>
      </c>
      <c r="R57" s="119"/>
    </row>
    <row r="58" spans="2:18" ht="15.75" x14ac:dyDescent="0.25">
      <c r="B58" s="143" t="s">
        <v>77</v>
      </c>
      <c r="C58" s="146">
        <v>1</v>
      </c>
      <c r="D58" s="146">
        <v>1</v>
      </c>
      <c r="E58" s="146"/>
      <c r="F58" s="146">
        <v>637</v>
      </c>
      <c r="G58" s="143" t="s">
        <v>131</v>
      </c>
      <c r="H58" s="178" t="s">
        <v>117</v>
      </c>
      <c r="I58" s="161">
        <v>5.08</v>
      </c>
      <c r="J58" s="161">
        <v>0.42</v>
      </c>
      <c r="K58" s="161">
        <v>0</v>
      </c>
      <c r="L58" s="164">
        <v>800</v>
      </c>
      <c r="M58" s="183">
        <v>0</v>
      </c>
      <c r="N58" s="172">
        <v>500</v>
      </c>
      <c r="O58" s="182">
        <f t="shared" si="0"/>
        <v>500</v>
      </c>
      <c r="P58" s="161">
        <v>500</v>
      </c>
      <c r="Q58" s="161">
        <v>500</v>
      </c>
      <c r="R58" s="119"/>
    </row>
    <row r="59" spans="2:18" ht="15.75" x14ac:dyDescent="0.25">
      <c r="B59" s="143" t="s">
        <v>77</v>
      </c>
      <c r="C59" s="146">
        <v>1</v>
      </c>
      <c r="D59" s="146">
        <v>1</v>
      </c>
      <c r="E59" s="146"/>
      <c r="F59" s="146">
        <v>637</v>
      </c>
      <c r="G59" s="143" t="s">
        <v>305</v>
      </c>
      <c r="H59" s="178" t="s">
        <v>306</v>
      </c>
      <c r="I59" s="161">
        <v>0</v>
      </c>
      <c r="J59" s="161">
        <v>20</v>
      </c>
      <c r="K59" s="161">
        <v>0</v>
      </c>
      <c r="L59" s="164">
        <v>523.20000000000005</v>
      </c>
      <c r="M59" s="183">
        <v>0</v>
      </c>
      <c r="N59" s="172">
        <v>530</v>
      </c>
      <c r="O59" s="182">
        <f t="shared" si="0"/>
        <v>530</v>
      </c>
      <c r="P59" s="161">
        <v>540</v>
      </c>
      <c r="Q59" s="161">
        <v>550</v>
      </c>
      <c r="R59" s="119"/>
    </row>
    <row r="60" spans="2:18" ht="15.75" x14ac:dyDescent="0.25">
      <c r="B60" s="143" t="s">
        <v>77</v>
      </c>
      <c r="C60" s="146">
        <v>1</v>
      </c>
      <c r="D60" s="146">
        <v>1</v>
      </c>
      <c r="E60" s="146"/>
      <c r="F60" s="146">
        <v>637</v>
      </c>
      <c r="G60" s="143" t="s">
        <v>130</v>
      </c>
      <c r="H60" s="178" t="s">
        <v>118</v>
      </c>
      <c r="I60" s="161">
        <v>7.2</v>
      </c>
      <c r="J60" s="161">
        <v>6.28</v>
      </c>
      <c r="K60" s="161">
        <v>50</v>
      </c>
      <c r="L60" s="164">
        <v>43.35</v>
      </c>
      <c r="M60" s="183">
        <v>0</v>
      </c>
      <c r="N60" s="172">
        <v>50</v>
      </c>
      <c r="O60" s="182">
        <f t="shared" si="0"/>
        <v>50</v>
      </c>
      <c r="P60" s="161">
        <v>50</v>
      </c>
      <c r="Q60" s="161">
        <v>50</v>
      </c>
      <c r="R60" s="119"/>
    </row>
    <row r="61" spans="2:18" ht="15.75" x14ac:dyDescent="0.25">
      <c r="B61" s="143" t="s">
        <v>77</v>
      </c>
      <c r="C61" s="146">
        <v>1</v>
      </c>
      <c r="D61" s="146">
        <v>1</v>
      </c>
      <c r="E61" s="146"/>
      <c r="F61" s="146">
        <v>637</v>
      </c>
      <c r="G61" s="143" t="s">
        <v>129</v>
      </c>
      <c r="H61" s="178" t="s">
        <v>119</v>
      </c>
      <c r="I61" s="161">
        <v>0</v>
      </c>
      <c r="J61" s="161">
        <v>0</v>
      </c>
      <c r="K61" s="161">
        <v>500</v>
      </c>
      <c r="L61" s="164">
        <v>0</v>
      </c>
      <c r="M61" s="183">
        <v>0</v>
      </c>
      <c r="N61" s="172">
        <v>100</v>
      </c>
      <c r="O61" s="182">
        <f t="shared" si="0"/>
        <v>100</v>
      </c>
      <c r="P61" s="161">
        <v>100</v>
      </c>
      <c r="Q61" s="161">
        <v>100</v>
      </c>
      <c r="R61" s="119"/>
    </row>
    <row r="62" spans="2:18" ht="15.75" x14ac:dyDescent="0.25">
      <c r="B62" s="143" t="s">
        <v>77</v>
      </c>
      <c r="C62" s="146">
        <v>1</v>
      </c>
      <c r="D62" s="146">
        <v>1</v>
      </c>
      <c r="E62" s="146"/>
      <c r="F62" s="146">
        <v>637</v>
      </c>
      <c r="G62" s="143" t="s">
        <v>128</v>
      </c>
      <c r="H62" s="178" t="s">
        <v>120</v>
      </c>
      <c r="I62" s="161">
        <v>1236</v>
      </c>
      <c r="J62" s="161">
        <v>1296</v>
      </c>
      <c r="K62" s="161">
        <v>1500</v>
      </c>
      <c r="L62" s="164">
        <v>3066.1</v>
      </c>
      <c r="M62" s="183">
        <v>0</v>
      </c>
      <c r="N62" s="172">
        <v>3100</v>
      </c>
      <c r="O62" s="182">
        <f t="shared" si="0"/>
        <v>3100</v>
      </c>
      <c r="P62" s="161">
        <v>3150</v>
      </c>
      <c r="Q62" s="161">
        <v>3200</v>
      </c>
      <c r="R62" s="119"/>
    </row>
    <row r="63" spans="2:18" ht="15.75" x14ac:dyDescent="0.25">
      <c r="B63" s="143" t="s">
        <v>77</v>
      </c>
      <c r="C63" s="146">
        <v>1</v>
      </c>
      <c r="D63" s="146">
        <v>1</v>
      </c>
      <c r="E63" s="146"/>
      <c r="F63" s="146">
        <v>642</v>
      </c>
      <c r="G63" s="143" t="s">
        <v>35</v>
      </c>
      <c r="H63" s="178" t="s">
        <v>121</v>
      </c>
      <c r="I63" s="161">
        <v>4944.2</v>
      </c>
      <c r="J63" s="161">
        <v>4945.84</v>
      </c>
      <c r="K63" s="161">
        <v>5000</v>
      </c>
      <c r="L63" s="164">
        <v>4969.9399999999996</v>
      </c>
      <c r="M63" s="183">
        <v>0</v>
      </c>
      <c r="N63" s="172">
        <v>5000</v>
      </c>
      <c r="O63" s="182">
        <f t="shared" si="0"/>
        <v>5000</v>
      </c>
      <c r="P63" s="161">
        <v>5000</v>
      </c>
      <c r="Q63" s="161">
        <v>5000</v>
      </c>
      <c r="R63" s="119"/>
    </row>
    <row r="64" spans="2:18" ht="15.75" customHeight="1" thickBot="1" x14ac:dyDescent="0.3">
      <c r="B64" s="144" t="s">
        <v>77</v>
      </c>
      <c r="C64" s="147">
        <v>1</v>
      </c>
      <c r="D64" s="147">
        <v>1</v>
      </c>
      <c r="E64" s="147"/>
      <c r="F64" s="147">
        <v>642</v>
      </c>
      <c r="G64" s="144" t="s">
        <v>127</v>
      </c>
      <c r="H64" s="179" t="s">
        <v>122</v>
      </c>
      <c r="I64" s="162">
        <v>200</v>
      </c>
      <c r="J64" s="162">
        <v>0</v>
      </c>
      <c r="K64" s="162">
        <v>0</v>
      </c>
      <c r="L64" s="165">
        <v>30.27</v>
      </c>
      <c r="M64" s="183">
        <v>0</v>
      </c>
      <c r="N64" s="173">
        <v>0</v>
      </c>
      <c r="O64" s="182">
        <f t="shared" si="0"/>
        <v>0</v>
      </c>
      <c r="P64" s="167">
        <v>0</v>
      </c>
      <c r="Q64" s="162">
        <v>0</v>
      </c>
      <c r="R64" s="119"/>
    </row>
    <row r="65" spans="1:18" ht="19.5" thickBot="1" x14ac:dyDescent="0.3">
      <c r="A65" s="35"/>
      <c r="B65" s="448" t="s">
        <v>123</v>
      </c>
      <c r="C65" s="449"/>
      <c r="D65" s="449"/>
      <c r="E65" s="449"/>
      <c r="F65" s="449"/>
      <c r="G65" s="449"/>
      <c r="H65" s="449"/>
      <c r="I65" s="278">
        <f t="shared" ref="I65" si="1">SUM(I8:I64)</f>
        <v>145887.88999999998</v>
      </c>
      <c r="J65" s="278">
        <f t="shared" ref="J65" si="2">SUM(J8:J64)</f>
        <v>161235.93</v>
      </c>
      <c r="K65" s="278">
        <f t="shared" ref="K65" si="3">SUM(K8:K64)</f>
        <v>165004</v>
      </c>
      <c r="L65" s="278">
        <f t="shared" ref="L65" si="4">SUM(L8:L64)</f>
        <v>195238</v>
      </c>
      <c r="M65" s="379">
        <f t="shared" ref="M65" si="5">SUM(M8:M64)</f>
        <v>605</v>
      </c>
      <c r="N65" s="379">
        <f t="shared" ref="N65" si="6">SUM(N8:N64)</f>
        <v>207077.45399999997</v>
      </c>
      <c r="O65" s="379">
        <f t="shared" ref="O65" si="7">SUM(O8:O64)</f>
        <v>207682.45399999997</v>
      </c>
      <c r="P65" s="278">
        <f t="shared" ref="P65" si="8">SUM(P8:P64)</f>
        <v>207868</v>
      </c>
      <c r="Q65" s="278">
        <f t="shared" ref="Q65" si="9">SUM(Q8:Q64)</f>
        <v>208298</v>
      </c>
      <c r="R65" s="119"/>
    </row>
    <row r="66" spans="1:18" ht="19.5" thickBot="1" x14ac:dyDescent="0.35">
      <c r="R66" s="119"/>
    </row>
    <row r="67" spans="1:18" ht="22.5" customHeight="1" thickBot="1" x14ac:dyDescent="0.3">
      <c r="B67" s="399" t="s">
        <v>133</v>
      </c>
      <c r="C67" s="400"/>
      <c r="D67" s="400"/>
      <c r="E67" s="400"/>
      <c r="F67" s="400"/>
      <c r="G67" s="400"/>
      <c r="H67" s="400"/>
      <c r="I67" s="400"/>
      <c r="J67" s="400"/>
      <c r="K67" s="400"/>
      <c r="L67" s="400"/>
      <c r="M67" s="400"/>
      <c r="N67" s="400"/>
      <c r="O67" s="400"/>
      <c r="P67" s="400"/>
      <c r="Q67" s="401"/>
      <c r="R67" s="119"/>
    </row>
    <row r="68" spans="1:18" ht="16.5" customHeight="1" thickBot="1" x14ac:dyDescent="0.3">
      <c r="B68" s="402" t="s">
        <v>64</v>
      </c>
      <c r="C68" s="402" t="s">
        <v>65</v>
      </c>
      <c r="D68" s="402" t="s">
        <v>66</v>
      </c>
      <c r="E68" s="402" t="s">
        <v>67</v>
      </c>
      <c r="F68" s="402" t="s">
        <v>24</v>
      </c>
      <c r="G68" s="405" t="s">
        <v>25</v>
      </c>
      <c r="H68" s="402" t="s">
        <v>22</v>
      </c>
      <c r="I68" s="397" t="s">
        <v>68</v>
      </c>
      <c r="J68" s="397" t="s">
        <v>303</v>
      </c>
      <c r="K68" s="397" t="s">
        <v>365</v>
      </c>
      <c r="L68" s="397" t="s">
        <v>364</v>
      </c>
      <c r="M68" s="409" t="s">
        <v>18</v>
      </c>
      <c r="N68" s="410"/>
      <c r="O68" s="411"/>
      <c r="P68" s="397" t="s">
        <v>0</v>
      </c>
      <c r="Q68" s="397" t="s">
        <v>294</v>
      </c>
      <c r="R68" s="119"/>
    </row>
    <row r="69" spans="1:18" ht="33" customHeight="1" thickBot="1" x14ac:dyDescent="0.3">
      <c r="B69" s="403"/>
      <c r="C69" s="403"/>
      <c r="D69" s="403"/>
      <c r="E69" s="403"/>
      <c r="F69" s="403"/>
      <c r="G69" s="406"/>
      <c r="H69" s="403"/>
      <c r="I69" s="398"/>
      <c r="J69" s="398"/>
      <c r="K69" s="398"/>
      <c r="L69" s="408"/>
      <c r="M69" s="80">
        <v>111</v>
      </c>
      <c r="N69" s="80">
        <v>41</v>
      </c>
      <c r="O69" s="81" t="s">
        <v>106</v>
      </c>
      <c r="P69" s="398"/>
      <c r="Q69" s="398"/>
      <c r="R69" s="119"/>
    </row>
    <row r="70" spans="1:18" ht="16.5" thickBot="1" x14ac:dyDescent="0.3">
      <c r="B70" s="41" t="s">
        <v>70</v>
      </c>
      <c r="C70" s="41" t="s">
        <v>71</v>
      </c>
      <c r="D70" s="41" t="s">
        <v>72</v>
      </c>
      <c r="E70" s="41" t="s">
        <v>73</v>
      </c>
      <c r="F70" s="41" t="s">
        <v>74</v>
      </c>
      <c r="G70" s="43" t="s">
        <v>75</v>
      </c>
      <c r="H70" s="50" t="s">
        <v>76</v>
      </c>
      <c r="I70" s="43">
        <v>1</v>
      </c>
      <c r="J70" s="43">
        <v>2</v>
      </c>
      <c r="K70" s="43" t="s">
        <v>152</v>
      </c>
      <c r="L70" s="43" t="s">
        <v>366</v>
      </c>
      <c r="M70" s="169" t="s">
        <v>336</v>
      </c>
      <c r="N70" s="170" t="s">
        <v>337</v>
      </c>
      <c r="O70" s="170" t="s">
        <v>338</v>
      </c>
      <c r="P70" s="43" t="s">
        <v>339</v>
      </c>
      <c r="Q70" s="43" t="s">
        <v>340</v>
      </c>
      <c r="R70" s="119"/>
    </row>
    <row r="71" spans="1:18" ht="15.75" x14ac:dyDescent="0.25">
      <c r="B71" s="142" t="s">
        <v>77</v>
      </c>
      <c r="C71" s="145">
        <v>1</v>
      </c>
      <c r="D71" s="145">
        <v>2</v>
      </c>
      <c r="E71" s="145"/>
      <c r="F71" s="145">
        <v>621</v>
      </c>
      <c r="G71" s="142"/>
      <c r="H71" s="145" t="s">
        <v>389</v>
      </c>
      <c r="I71" s="160">
        <v>88.48</v>
      </c>
      <c r="J71" s="160">
        <v>39.700000000000003</v>
      </c>
      <c r="K71" s="163">
        <v>780</v>
      </c>
      <c r="L71" s="163">
        <v>13.9</v>
      </c>
      <c r="M71" s="189">
        <v>0</v>
      </c>
      <c r="N71" s="190">
        <v>117</v>
      </c>
      <c r="O71" s="191">
        <f t="shared" ref="O71:O84" si="10">M71+N71</f>
        <v>117</v>
      </c>
      <c r="P71" s="160">
        <v>120</v>
      </c>
      <c r="Q71" s="160">
        <v>120</v>
      </c>
      <c r="R71" s="119"/>
    </row>
    <row r="72" spans="1:18" ht="15.75" x14ac:dyDescent="0.25">
      <c r="B72" s="143" t="s">
        <v>77</v>
      </c>
      <c r="C72" s="146">
        <v>1</v>
      </c>
      <c r="D72" s="146">
        <v>2</v>
      </c>
      <c r="E72" s="146"/>
      <c r="F72" s="146">
        <v>623</v>
      </c>
      <c r="G72" s="143"/>
      <c r="H72" s="146" t="s">
        <v>378</v>
      </c>
      <c r="I72" s="161">
        <v>153.47999999999999</v>
      </c>
      <c r="J72" s="161">
        <v>129.6</v>
      </c>
      <c r="K72" s="164">
        <v>0</v>
      </c>
      <c r="L72" s="164">
        <v>78.5</v>
      </c>
      <c r="M72" s="183">
        <v>0</v>
      </c>
      <c r="N72" s="172">
        <v>117</v>
      </c>
      <c r="O72" s="184">
        <f t="shared" si="10"/>
        <v>117</v>
      </c>
      <c r="P72" s="161">
        <v>120</v>
      </c>
      <c r="Q72" s="161">
        <v>120</v>
      </c>
      <c r="R72" s="119"/>
    </row>
    <row r="73" spans="1:18" ht="15.75" x14ac:dyDescent="0.25">
      <c r="B73" s="143" t="s">
        <v>77</v>
      </c>
      <c r="C73" s="146">
        <v>1</v>
      </c>
      <c r="D73" s="146">
        <v>2</v>
      </c>
      <c r="E73" s="146"/>
      <c r="F73" s="146">
        <v>625</v>
      </c>
      <c r="G73" s="143" t="s">
        <v>31</v>
      </c>
      <c r="H73" s="146" t="s">
        <v>322</v>
      </c>
      <c r="I73" s="161">
        <v>337.1</v>
      </c>
      <c r="J73" s="161">
        <v>235.6</v>
      </c>
      <c r="K73" s="164">
        <v>0</v>
      </c>
      <c r="L73" s="164">
        <v>128.52000000000001</v>
      </c>
      <c r="M73" s="183">
        <v>0</v>
      </c>
      <c r="N73" s="172">
        <v>327.60000000000002</v>
      </c>
      <c r="O73" s="184">
        <f t="shared" si="10"/>
        <v>327.60000000000002</v>
      </c>
      <c r="P73" s="161">
        <v>330</v>
      </c>
      <c r="Q73" s="161">
        <v>330</v>
      </c>
      <c r="R73" s="119"/>
    </row>
    <row r="74" spans="1:18" ht="15.75" x14ac:dyDescent="0.25">
      <c r="B74" s="143" t="s">
        <v>77</v>
      </c>
      <c r="C74" s="146">
        <v>1</v>
      </c>
      <c r="D74" s="146">
        <v>2</v>
      </c>
      <c r="E74" s="146"/>
      <c r="F74" s="146">
        <v>625</v>
      </c>
      <c r="G74" s="143" t="s">
        <v>29</v>
      </c>
      <c r="H74" s="146" t="s">
        <v>348</v>
      </c>
      <c r="I74" s="161">
        <v>10.8</v>
      </c>
      <c r="J74" s="161">
        <v>5.88</v>
      </c>
      <c r="K74" s="164">
        <v>0</v>
      </c>
      <c r="L74" s="164">
        <v>3.6</v>
      </c>
      <c r="M74" s="183">
        <v>0</v>
      </c>
      <c r="N74" s="172">
        <v>18.72</v>
      </c>
      <c r="O74" s="184">
        <f t="shared" si="10"/>
        <v>18.72</v>
      </c>
      <c r="P74" s="161">
        <v>20</v>
      </c>
      <c r="Q74" s="161">
        <v>20</v>
      </c>
      <c r="R74" s="119"/>
    </row>
    <row r="75" spans="1:18" ht="15.75" x14ac:dyDescent="0.25">
      <c r="B75" s="143" t="s">
        <v>77</v>
      </c>
      <c r="C75" s="146">
        <v>1</v>
      </c>
      <c r="D75" s="146">
        <v>2</v>
      </c>
      <c r="E75" s="146"/>
      <c r="F75" s="146">
        <v>625</v>
      </c>
      <c r="G75" s="143" t="s">
        <v>34</v>
      </c>
      <c r="H75" s="146" t="s">
        <v>324</v>
      </c>
      <c r="I75" s="161">
        <v>70.62</v>
      </c>
      <c r="J75" s="161">
        <v>48.4</v>
      </c>
      <c r="K75" s="164">
        <v>0</v>
      </c>
      <c r="L75" s="164">
        <v>26.28</v>
      </c>
      <c r="M75" s="183">
        <v>0</v>
      </c>
      <c r="N75" s="172">
        <v>70.2</v>
      </c>
      <c r="O75" s="184">
        <f t="shared" si="10"/>
        <v>70.2</v>
      </c>
      <c r="P75" s="161">
        <v>70</v>
      </c>
      <c r="Q75" s="161">
        <v>70</v>
      </c>
      <c r="R75" s="119"/>
    </row>
    <row r="76" spans="1:18" ht="15.75" x14ac:dyDescent="0.25">
      <c r="B76" s="143" t="s">
        <v>77</v>
      </c>
      <c r="C76" s="146">
        <v>1</v>
      </c>
      <c r="D76" s="146">
        <v>2</v>
      </c>
      <c r="E76" s="146"/>
      <c r="F76" s="146">
        <v>625</v>
      </c>
      <c r="G76" s="143" t="s">
        <v>108</v>
      </c>
      <c r="H76" s="146" t="s">
        <v>326</v>
      </c>
      <c r="I76" s="161">
        <v>112.91</v>
      </c>
      <c r="J76" s="161">
        <v>78.64</v>
      </c>
      <c r="K76" s="164">
        <v>0</v>
      </c>
      <c r="L76" s="164">
        <v>42.36</v>
      </c>
      <c r="M76" s="183">
        <v>0</v>
      </c>
      <c r="N76" s="172">
        <v>111.15</v>
      </c>
      <c r="O76" s="184">
        <f t="shared" si="10"/>
        <v>111.15</v>
      </c>
      <c r="P76" s="161">
        <v>115</v>
      </c>
      <c r="Q76" s="161">
        <v>115</v>
      </c>
      <c r="R76" s="119"/>
    </row>
    <row r="77" spans="1:18" ht="15.75" x14ac:dyDescent="0.25">
      <c r="B77" s="143" t="s">
        <v>77</v>
      </c>
      <c r="C77" s="146">
        <v>1</v>
      </c>
      <c r="D77" s="146">
        <v>2</v>
      </c>
      <c r="E77" s="146"/>
      <c r="F77" s="146">
        <v>637</v>
      </c>
      <c r="G77" s="143" t="s">
        <v>34</v>
      </c>
      <c r="H77" s="146" t="s">
        <v>111</v>
      </c>
      <c r="I77" s="161">
        <v>432</v>
      </c>
      <c r="J77" s="161">
        <v>0</v>
      </c>
      <c r="K77" s="164">
        <v>0</v>
      </c>
      <c r="L77" s="164">
        <v>432</v>
      </c>
      <c r="M77" s="183">
        <v>0</v>
      </c>
      <c r="N77" s="172">
        <v>0</v>
      </c>
      <c r="O77" s="184">
        <f t="shared" si="10"/>
        <v>0</v>
      </c>
      <c r="P77" s="161">
        <v>0</v>
      </c>
      <c r="Q77" s="161">
        <v>0</v>
      </c>
      <c r="R77" s="119"/>
    </row>
    <row r="78" spans="1:18" ht="15.75" x14ac:dyDescent="0.25">
      <c r="B78" s="143" t="s">
        <v>77</v>
      </c>
      <c r="C78" s="146">
        <v>1</v>
      </c>
      <c r="D78" s="146">
        <v>2</v>
      </c>
      <c r="E78" s="146"/>
      <c r="F78" s="146">
        <v>637</v>
      </c>
      <c r="G78" s="143" t="s">
        <v>107</v>
      </c>
      <c r="H78" s="146" t="s">
        <v>112</v>
      </c>
      <c r="I78" s="161">
        <v>840</v>
      </c>
      <c r="J78" s="161">
        <v>840</v>
      </c>
      <c r="K78" s="164">
        <v>1200</v>
      </c>
      <c r="L78" s="164">
        <v>0</v>
      </c>
      <c r="M78" s="183">
        <v>0</v>
      </c>
      <c r="N78" s="172">
        <v>1000</v>
      </c>
      <c r="O78" s="184">
        <f t="shared" si="10"/>
        <v>1000</v>
      </c>
      <c r="P78" s="161">
        <v>1000</v>
      </c>
      <c r="Q78" s="161">
        <v>1000</v>
      </c>
      <c r="R78" s="119"/>
    </row>
    <row r="79" spans="1:18" ht="15.75" x14ac:dyDescent="0.25">
      <c r="B79" s="143" t="s">
        <v>77</v>
      </c>
      <c r="C79" s="146">
        <v>1</v>
      </c>
      <c r="D79" s="146">
        <v>2</v>
      </c>
      <c r="E79" s="146"/>
      <c r="F79" s="146">
        <v>637</v>
      </c>
      <c r="G79" s="143" t="s">
        <v>32</v>
      </c>
      <c r="H79" s="146" t="s">
        <v>114</v>
      </c>
      <c r="I79" s="161">
        <v>2455.89</v>
      </c>
      <c r="J79" s="161">
        <v>2772.61</v>
      </c>
      <c r="K79" s="164">
        <v>2500</v>
      </c>
      <c r="L79" s="164">
        <v>2309.23</v>
      </c>
      <c r="M79" s="183">
        <v>0</v>
      </c>
      <c r="N79" s="172">
        <v>1900</v>
      </c>
      <c r="O79" s="184">
        <f t="shared" si="10"/>
        <v>1900</v>
      </c>
      <c r="P79" s="161">
        <v>1900</v>
      </c>
      <c r="Q79" s="161">
        <v>1900</v>
      </c>
      <c r="R79" s="119"/>
    </row>
    <row r="80" spans="1:18" ht="15.75" x14ac:dyDescent="0.25">
      <c r="B80" s="143" t="s">
        <v>77</v>
      </c>
      <c r="C80" s="146">
        <v>1</v>
      </c>
      <c r="D80" s="146">
        <v>2</v>
      </c>
      <c r="E80" s="146"/>
      <c r="F80" s="146">
        <v>637</v>
      </c>
      <c r="G80" s="143" t="s">
        <v>134</v>
      </c>
      <c r="H80" s="146" t="s">
        <v>136</v>
      </c>
      <c r="I80" s="161">
        <v>4849.17</v>
      </c>
      <c r="J80" s="161">
        <v>5028.26</v>
      </c>
      <c r="K80" s="164">
        <v>5000</v>
      </c>
      <c r="L80" s="164">
        <v>5020.7</v>
      </c>
      <c r="M80" s="183">
        <v>0</v>
      </c>
      <c r="N80" s="172">
        <v>4900</v>
      </c>
      <c r="O80" s="184">
        <f t="shared" si="10"/>
        <v>4900</v>
      </c>
      <c r="P80" s="161">
        <v>4800</v>
      </c>
      <c r="Q80" s="161">
        <v>4800</v>
      </c>
      <c r="R80" s="119"/>
    </row>
    <row r="81" spans="2:18" ht="15.75" x14ac:dyDescent="0.25">
      <c r="B81" s="143" t="s">
        <v>77</v>
      </c>
      <c r="C81" s="146">
        <v>1</v>
      </c>
      <c r="D81" s="146">
        <v>2</v>
      </c>
      <c r="E81" s="146"/>
      <c r="F81" s="146">
        <v>637</v>
      </c>
      <c r="G81" s="143" t="s">
        <v>135</v>
      </c>
      <c r="H81" s="146" t="s">
        <v>137</v>
      </c>
      <c r="I81" s="161">
        <v>2420.7199999999998</v>
      </c>
      <c r="J81" s="161">
        <v>1693</v>
      </c>
      <c r="K81" s="164">
        <v>3400</v>
      </c>
      <c r="L81" s="164">
        <v>2030.58</v>
      </c>
      <c r="M81" s="183">
        <v>0</v>
      </c>
      <c r="N81" s="172">
        <v>2340</v>
      </c>
      <c r="O81" s="184">
        <f t="shared" si="10"/>
        <v>2340</v>
      </c>
      <c r="P81" s="161">
        <v>2340</v>
      </c>
      <c r="Q81" s="161">
        <v>2340</v>
      </c>
      <c r="R81" s="119"/>
    </row>
    <row r="82" spans="2:18" ht="15.75" x14ac:dyDescent="0.25">
      <c r="B82" s="143" t="s">
        <v>77</v>
      </c>
      <c r="C82" s="146">
        <v>1</v>
      </c>
      <c r="D82" s="146">
        <v>2</v>
      </c>
      <c r="E82" s="146"/>
      <c r="F82" s="146">
        <v>637</v>
      </c>
      <c r="G82" s="143" t="s">
        <v>38</v>
      </c>
      <c r="H82" s="146" t="s">
        <v>307</v>
      </c>
      <c r="I82" s="161">
        <v>0</v>
      </c>
      <c r="J82" s="161">
        <v>0</v>
      </c>
      <c r="K82" s="164">
        <v>0</v>
      </c>
      <c r="L82" s="164">
        <v>0</v>
      </c>
      <c r="M82" s="183">
        <v>0</v>
      </c>
      <c r="N82" s="172">
        <v>0</v>
      </c>
      <c r="O82" s="184">
        <f t="shared" si="10"/>
        <v>0</v>
      </c>
      <c r="P82" s="161">
        <v>0</v>
      </c>
      <c r="Q82" s="161">
        <v>0</v>
      </c>
      <c r="R82" s="119"/>
    </row>
    <row r="83" spans="2:18" ht="15.75" x14ac:dyDescent="0.25">
      <c r="B83" s="143" t="s">
        <v>77</v>
      </c>
      <c r="C83" s="146">
        <v>1</v>
      </c>
      <c r="D83" s="146">
        <v>2</v>
      </c>
      <c r="E83" s="146"/>
      <c r="F83" s="146">
        <v>653</v>
      </c>
      <c r="G83" s="143" t="s">
        <v>30</v>
      </c>
      <c r="H83" s="146" t="s">
        <v>138</v>
      </c>
      <c r="I83" s="161">
        <v>78.069999999999993</v>
      </c>
      <c r="J83" s="161">
        <v>0</v>
      </c>
      <c r="K83" s="161">
        <v>200</v>
      </c>
      <c r="L83" s="164">
        <v>63.2</v>
      </c>
      <c r="M83" s="183">
        <v>0</v>
      </c>
      <c r="N83" s="172">
        <v>100</v>
      </c>
      <c r="O83" s="184">
        <f t="shared" si="10"/>
        <v>100</v>
      </c>
      <c r="P83" s="161">
        <v>100</v>
      </c>
      <c r="Q83" s="161">
        <v>100</v>
      </c>
      <c r="R83" s="119"/>
    </row>
    <row r="84" spans="2:18" ht="15.75" x14ac:dyDescent="0.25">
      <c r="B84" s="143" t="s">
        <v>77</v>
      </c>
      <c r="C84" s="146">
        <v>1</v>
      </c>
      <c r="D84" s="146">
        <v>2</v>
      </c>
      <c r="E84" s="146"/>
      <c r="F84" s="146">
        <v>642</v>
      </c>
      <c r="G84" s="143" t="s">
        <v>334</v>
      </c>
      <c r="H84" s="178" t="s">
        <v>335</v>
      </c>
      <c r="I84" s="161">
        <v>0</v>
      </c>
      <c r="J84" s="161">
        <v>0</v>
      </c>
      <c r="K84" s="161">
        <v>0</v>
      </c>
      <c r="L84" s="164">
        <v>1983.58</v>
      </c>
      <c r="M84" s="183">
        <v>1800</v>
      </c>
      <c r="N84" s="172">
        <v>0</v>
      </c>
      <c r="O84" s="184">
        <f t="shared" si="10"/>
        <v>1800</v>
      </c>
      <c r="P84" s="161">
        <v>1800</v>
      </c>
      <c r="Q84" s="161">
        <v>1800</v>
      </c>
      <c r="R84" s="119"/>
    </row>
    <row r="85" spans="2:18" ht="16.5" thickBot="1" x14ac:dyDescent="0.3">
      <c r="B85" s="42" t="s">
        <v>77</v>
      </c>
      <c r="C85" s="28">
        <v>1</v>
      </c>
      <c r="D85" s="28">
        <v>2</v>
      </c>
      <c r="E85" s="28"/>
      <c r="F85" s="28">
        <v>642</v>
      </c>
      <c r="G85" s="42" t="s">
        <v>135</v>
      </c>
      <c r="H85" s="284" t="s">
        <v>308</v>
      </c>
      <c r="I85" s="31">
        <v>3621.27</v>
      </c>
      <c r="J85" s="31">
        <v>3264.05</v>
      </c>
      <c r="K85" s="31">
        <v>4000</v>
      </c>
      <c r="L85" s="337">
        <v>0</v>
      </c>
      <c r="M85" s="285">
        <v>0</v>
      </c>
      <c r="N85" s="324">
        <v>0</v>
      </c>
      <c r="O85" s="184">
        <f>M85+N85</f>
        <v>0</v>
      </c>
      <c r="P85" s="31">
        <v>0</v>
      </c>
      <c r="Q85" s="31">
        <v>0</v>
      </c>
      <c r="R85" s="119"/>
    </row>
    <row r="86" spans="2:18" ht="18.75" customHeight="1" thickBot="1" x14ac:dyDescent="0.35">
      <c r="B86" s="444" t="s">
        <v>146</v>
      </c>
      <c r="C86" s="445"/>
      <c r="D86" s="445"/>
      <c r="E86" s="445"/>
      <c r="F86" s="445"/>
      <c r="G86" s="445"/>
      <c r="H86" s="445"/>
      <c r="I86" s="187">
        <f t="shared" ref="I86:Q86" si="11">SUM(I71:I85)</f>
        <v>15470.51</v>
      </c>
      <c r="J86" s="187">
        <f t="shared" si="11"/>
        <v>14135.740000000002</v>
      </c>
      <c r="K86" s="187">
        <f t="shared" si="11"/>
        <v>17080</v>
      </c>
      <c r="L86" s="187">
        <f t="shared" si="11"/>
        <v>12132.45</v>
      </c>
      <c r="M86" s="188">
        <f>SUM(M71:M85)</f>
        <v>1800</v>
      </c>
      <c r="N86" s="188">
        <f>SUM(N71:N85)</f>
        <v>11001.67</v>
      </c>
      <c r="O86" s="188">
        <f>SUM(O71:O85)</f>
        <v>12801.67</v>
      </c>
      <c r="P86" s="187">
        <f>SUM(P71:P85)</f>
        <v>12715</v>
      </c>
      <c r="Q86" s="187">
        <f t="shared" si="11"/>
        <v>12715</v>
      </c>
      <c r="R86" s="119"/>
    </row>
    <row r="87" spans="2:18" ht="19.5" thickBot="1" x14ac:dyDescent="0.35">
      <c r="B87" s="34"/>
      <c r="R87" s="119"/>
    </row>
    <row r="88" spans="2:18" ht="20.25" thickBot="1" x14ac:dyDescent="0.3">
      <c r="B88" s="399" t="s">
        <v>139</v>
      </c>
      <c r="C88" s="400"/>
      <c r="D88" s="40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1"/>
      <c r="R88" s="119"/>
    </row>
    <row r="89" spans="2:18" ht="16.5" thickBot="1" x14ac:dyDescent="0.3">
      <c r="B89" s="402" t="s">
        <v>64</v>
      </c>
      <c r="C89" s="402" t="s">
        <v>65</v>
      </c>
      <c r="D89" s="402" t="s">
        <v>66</v>
      </c>
      <c r="E89" s="402" t="s">
        <v>67</v>
      </c>
      <c r="F89" s="402" t="s">
        <v>24</v>
      </c>
      <c r="G89" s="405" t="s">
        <v>25</v>
      </c>
      <c r="H89" s="402" t="s">
        <v>22</v>
      </c>
      <c r="I89" s="397" t="s">
        <v>68</v>
      </c>
      <c r="J89" s="397" t="s">
        <v>303</v>
      </c>
      <c r="K89" s="397" t="s">
        <v>365</v>
      </c>
      <c r="L89" s="397" t="s">
        <v>364</v>
      </c>
      <c r="M89" s="409" t="s">
        <v>18</v>
      </c>
      <c r="N89" s="410"/>
      <c r="O89" s="411"/>
      <c r="P89" s="397" t="s">
        <v>0</v>
      </c>
      <c r="Q89" s="397" t="s">
        <v>294</v>
      </c>
      <c r="R89" s="119"/>
    </row>
    <row r="90" spans="2:18" ht="34.5" customHeight="1" thickBot="1" x14ac:dyDescent="0.3">
      <c r="B90" s="403"/>
      <c r="C90" s="403"/>
      <c r="D90" s="403"/>
      <c r="E90" s="403"/>
      <c r="F90" s="403"/>
      <c r="G90" s="406"/>
      <c r="H90" s="403"/>
      <c r="I90" s="398"/>
      <c r="J90" s="398"/>
      <c r="K90" s="398"/>
      <c r="L90" s="408"/>
      <c r="M90" s="80">
        <v>111</v>
      </c>
      <c r="N90" s="80">
        <v>41</v>
      </c>
      <c r="O90" s="81" t="s">
        <v>106</v>
      </c>
      <c r="P90" s="456"/>
      <c r="Q90" s="398"/>
      <c r="R90" s="119"/>
    </row>
    <row r="91" spans="2:18" ht="16.5" thickBot="1" x14ac:dyDescent="0.3">
      <c r="B91" s="41" t="s">
        <v>70</v>
      </c>
      <c r="C91" s="41" t="s">
        <v>71</v>
      </c>
      <c r="D91" s="41" t="s">
        <v>72</v>
      </c>
      <c r="E91" s="41" t="s">
        <v>73</v>
      </c>
      <c r="F91" s="41" t="s">
        <v>74</v>
      </c>
      <c r="G91" s="43" t="s">
        <v>75</v>
      </c>
      <c r="H91" s="50" t="s">
        <v>76</v>
      </c>
      <c r="I91" s="43">
        <v>1</v>
      </c>
      <c r="J91" s="43">
        <v>2</v>
      </c>
      <c r="K91" s="43" t="s">
        <v>152</v>
      </c>
      <c r="L91" s="43" t="s">
        <v>366</v>
      </c>
      <c r="M91" s="169" t="s">
        <v>336</v>
      </c>
      <c r="N91" s="170" t="s">
        <v>337</v>
      </c>
      <c r="O91" s="170" t="s">
        <v>338</v>
      </c>
      <c r="P91" s="43" t="s">
        <v>339</v>
      </c>
      <c r="Q91" s="43" t="s">
        <v>340</v>
      </c>
      <c r="R91" s="119"/>
    </row>
    <row r="92" spans="2:18" ht="15.75" x14ac:dyDescent="0.25">
      <c r="B92" s="142" t="s">
        <v>77</v>
      </c>
      <c r="C92" s="145">
        <v>3</v>
      </c>
      <c r="D92" s="145">
        <v>3</v>
      </c>
      <c r="E92" s="145"/>
      <c r="F92" s="145">
        <v>611</v>
      </c>
      <c r="G92" s="142"/>
      <c r="H92" s="145" t="s">
        <v>140</v>
      </c>
      <c r="I92" s="160">
        <v>17083.91</v>
      </c>
      <c r="J92" s="160">
        <f>3061.14+10100.77</f>
        <v>13161.91</v>
      </c>
      <c r="K92" s="160">
        <v>3139</v>
      </c>
      <c r="L92" s="163">
        <v>1641.12</v>
      </c>
      <c r="M92" s="189">
        <v>2170</v>
      </c>
      <c r="N92" s="190">
        <v>3747</v>
      </c>
      <c r="O92" s="191">
        <f>M92+N92</f>
        <v>5917</v>
      </c>
      <c r="P92" s="160">
        <v>5917</v>
      </c>
      <c r="Q92" s="160">
        <v>5917</v>
      </c>
      <c r="R92" s="119"/>
    </row>
    <row r="93" spans="2:18" ht="15.75" x14ac:dyDescent="0.25">
      <c r="B93" s="143" t="s">
        <v>77</v>
      </c>
      <c r="C93" s="146">
        <v>3</v>
      </c>
      <c r="D93" s="146">
        <v>3</v>
      </c>
      <c r="E93" s="146"/>
      <c r="F93" s="146">
        <v>614</v>
      </c>
      <c r="G93" s="143"/>
      <c r="H93" s="146" t="s">
        <v>141</v>
      </c>
      <c r="I93" s="161">
        <v>0</v>
      </c>
      <c r="J93" s="161">
        <v>40.64</v>
      </c>
      <c r="K93" s="161">
        <v>0</v>
      </c>
      <c r="L93" s="164">
        <v>0</v>
      </c>
      <c r="M93" s="183"/>
      <c r="N93" s="172">
        <v>0</v>
      </c>
      <c r="O93" s="184">
        <f t="shared" ref="O93:O108" si="12">M93+N93</f>
        <v>0</v>
      </c>
      <c r="P93" s="161">
        <v>0</v>
      </c>
      <c r="Q93" s="161">
        <v>0</v>
      </c>
      <c r="R93" s="119"/>
    </row>
    <row r="94" spans="2:18" ht="15.75" x14ac:dyDescent="0.25">
      <c r="B94" s="143" t="s">
        <v>77</v>
      </c>
      <c r="C94" s="146">
        <v>3</v>
      </c>
      <c r="D94" s="146">
        <v>3</v>
      </c>
      <c r="E94" s="146"/>
      <c r="F94" s="146">
        <v>621</v>
      </c>
      <c r="G94" s="143"/>
      <c r="H94" s="146" t="s">
        <v>142</v>
      </c>
      <c r="I94" s="161">
        <v>0</v>
      </c>
      <c r="J94" s="161">
        <v>0</v>
      </c>
      <c r="K94" s="161">
        <v>1130</v>
      </c>
      <c r="L94" s="164">
        <v>0</v>
      </c>
      <c r="M94" s="183"/>
      <c r="N94" s="172">
        <v>0</v>
      </c>
      <c r="O94" s="184">
        <f t="shared" si="12"/>
        <v>0</v>
      </c>
      <c r="P94" s="161">
        <v>0</v>
      </c>
      <c r="Q94" s="161">
        <v>0</v>
      </c>
      <c r="R94" s="119"/>
    </row>
    <row r="95" spans="2:18" ht="15.75" x14ac:dyDescent="0.25">
      <c r="B95" s="143" t="s">
        <v>77</v>
      </c>
      <c r="C95" s="146">
        <v>3</v>
      </c>
      <c r="D95" s="146">
        <v>3</v>
      </c>
      <c r="E95" s="146"/>
      <c r="F95" s="146">
        <v>623</v>
      </c>
      <c r="G95" s="143"/>
      <c r="H95" s="178" t="s">
        <v>347</v>
      </c>
      <c r="I95" s="213">
        <v>1737.53</v>
      </c>
      <c r="J95" s="155">
        <v>1927.34</v>
      </c>
      <c r="K95" s="155">
        <v>0</v>
      </c>
      <c r="L95" s="164">
        <v>744.1</v>
      </c>
      <c r="M95" s="183"/>
      <c r="N95" s="172">
        <v>591.70000000000005</v>
      </c>
      <c r="O95" s="184">
        <f t="shared" si="12"/>
        <v>591.70000000000005</v>
      </c>
      <c r="P95" s="161">
        <v>595</v>
      </c>
      <c r="Q95" s="161">
        <v>595</v>
      </c>
      <c r="R95" s="119"/>
    </row>
    <row r="96" spans="2:18" ht="15.75" x14ac:dyDescent="0.25">
      <c r="B96" s="143" t="s">
        <v>77</v>
      </c>
      <c r="C96" s="146">
        <v>3</v>
      </c>
      <c r="D96" s="146">
        <v>3</v>
      </c>
      <c r="E96" s="146"/>
      <c r="F96" s="146">
        <v>625</v>
      </c>
      <c r="G96" s="143" t="s">
        <v>30</v>
      </c>
      <c r="H96" s="146" t="s">
        <v>321</v>
      </c>
      <c r="I96" s="161">
        <v>239.15</v>
      </c>
      <c r="J96" s="155">
        <v>264.52</v>
      </c>
      <c r="K96" s="155">
        <v>0</v>
      </c>
      <c r="L96" s="164">
        <v>101.39</v>
      </c>
      <c r="M96" s="183"/>
      <c r="N96" s="172">
        <v>82.837999999999994</v>
      </c>
      <c r="O96" s="184">
        <f t="shared" si="12"/>
        <v>82.837999999999994</v>
      </c>
      <c r="P96" s="161">
        <v>85</v>
      </c>
      <c r="Q96" s="161">
        <v>85</v>
      </c>
      <c r="R96" s="119"/>
    </row>
    <row r="97" spans="2:18" ht="15.75" x14ac:dyDescent="0.25">
      <c r="B97" s="143" t="s">
        <v>77</v>
      </c>
      <c r="C97" s="146">
        <v>3</v>
      </c>
      <c r="D97" s="146">
        <v>3</v>
      </c>
      <c r="E97" s="146"/>
      <c r="F97" s="146">
        <v>625</v>
      </c>
      <c r="G97" s="143" t="s">
        <v>31</v>
      </c>
      <c r="H97" s="146" t="s">
        <v>322</v>
      </c>
      <c r="I97" s="161">
        <v>2391.9499999999998</v>
      </c>
      <c r="J97" s="155">
        <v>2645.66</v>
      </c>
      <c r="K97" s="155">
        <v>0</v>
      </c>
      <c r="L97" s="164">
        <v>1022.03</v>
      </c>
      <c r="M97" s="183"/>
      <c r="N97" s="172">
        <v>828.38</v>
      </c>
      <c r="O97" s="184">
        <f t="shared" si="12"/>
        <v>828.38</v>
      </c>
      <c r="P97" s="161">
        <v>830</v>
      </c>
      <c r="Q97" s="161">
        <v>830</v>
      </c>
      <c r="R97" s="119"/>
    </row>
    <row r="98" spans="2:18" ht="15.75" x14ac:dyDescent="0.25">
      <c r="B98" s="143" t="s">
        <v>77</v>
      </c>
      <c r="C98" s="146">
        <v>3</v>
      </c>
      <c r="D98" s="146">
        <v>3</v>
      </c>
      <c r="E98" s="146"/>
      <c r="F98" s="146">
        <v>625</v>
      </c>
      <c r="G98" s="143" t="s">
        <v>29</v>
      </c>
      <c r="H98" s="146" t="s">
        <v>348</v>
      </c>
      <c r="I98" s="161">
        <v>136.63</v>
      </c>
      <c r="J98" s="155">
        <v>151.13</v>
      </c>
      <c r="K98" s="155">
        <v>0</v>
      </c>
      <c r="L98" s="164">
        <v>58.73</v>
      </c>
      <c r="M98" s="183"/>
      <c r="N98" s="172">
        <v>47.335999999999999</v>
      </c>
      <c r="O98" s="184">
        <f t="shared" si="12"/>
        <v>47.335999999999999</v>
      </c>
      <c r="P98" s="161">
        <v>50</v>
      </c>
      <c r="Q98" s="161">
        <v>50</v>
      </c>
      <c r="R98" s="119"/>
    </row>
    <row r="99" spans="2:18" ht="15.75" x14ac:dyDescent="0.25">
      <c r="B99" s="143" t="s">
        <v>77</v>
      </c>
      <c r="C99" s="146">
        <v>3</v>
      </c>
      <c r="D99" s="146">
        <v>3</v>
      </c>
      <c r="E99" s="146"/>
      <c r="F99" s="146">
        <v>625</v>
      </c>
      <c r="G99" s="143" t="s">
        <v>34</v>
      </c>
      <c r="H99" s="146" t="s">
        <v>324</v>
      </c>
      <c r="I99" s="161">
        <v>512.52</v>
      </c>
      <c r="J99" s="155">
        <v>566.89</v>
      </c>
      <c r="K99" s="155">
        <v>0</v>
      </c>
      <c r="L99" s="164">
        <v>219.56</v>
      </c>
      <c r="M99" s="183"/>
      <c r="N99" s="172">
        <v>177.51</v>
      </c>
      <c r="O99" s="184">
        <f t="shared" si="12"/>
        <v>177.51</v>
      </c>
      <c r="P99" s="161">
        <v>180</v>
      </c>
      <c r="Q99" s="161">
        <v>180</v>
      </c>
      <c r="R99" s="119"/>
    </row>
    <row r="100" spans="2:18" ht="15.75" x14ac:dyDescent="0.25">
      <c r="B100" s="143" t="s">
        <v>77</v>
      </c>
      <c r="C100" s="146">
        <v>3</v>
      </c>
      <c r="D100" s="146">
        <v>3</v>
      </c>
      <c r="E100" s="146"/>
      <c r="F100" s="146">
        <v>625</v>
      </c>
      <c r="G100" s="143" t="s">
        <v>107</v>
      </c>
      <c r="H100" s="146" t="s">
        <v>325</v>
      </c>
      <c r="I100" s="161">
        <v>170.82</v>
      </c>
      <c r="J100" s="155">
        <v>188.93</v>
      </c>
      <c r="K100" s="155">
        <v>0</v>
      </c>
      <c r="L100" s="164">
        <v>73.650000000000006</v>
      </c>
      <c r="M100" s="183"/>
      <c r="N100" s="172">
        <v>59.17</v>
      </c>
      <c r="O100" s="184">
        <f t="shared" si="12"/>
        <v>59.17</v>
      </c>
      <c r="P100" s="161">
        <v>60</v>
      </c>
      <c r="Q100" s="161">
        <v>60</v>
      </c>
      <c r="R100" s="119"/>
    </row>
    <row r="101" spans="2:18" ht="15.75" x14ac:dyDescent="0.25">
      <c r="B101" s="143" t="s">
        <v>77</v>
      </c>
      <c r="C101" s="146">
        <v>3</v>
      </c>
      <c r="D101" s="146">
        <v>3</v>
      </c>
      <c r="E101" s="146"/>
      <c r="F101" s="146">
        <v>625</v>
      </c>
      <c r="G101" s="143" t="s">
        <v>108</v>
      </c>
      <c r="H101" s="146" t="s">
        <v>326</v>
      </c>
      <c r="I101" s="161">
        <v>811.51</v>
      </c>
      <c r="J101" s="155">
        <v>897.58</v>
      </c>
      <c r="K101" s="155">
        <v>0</v>
      </c>
      <c r="L101" s="164">
        <v>347.18</v>
      </c>
      <c r="M101" s="183"/>
      <c r="N101" s="172">
        <v>281.0575</v>
      </c>
      <c r="O101" s="184">
        <f t="shared" si="12"/>
        <v>281.0575</v>
      </c>
      <c r="P101" s="161">
        <v>285</v>
      </c>
      <c r="Q101" s="161">
        <v>285</v>
      </c>
      <c r="R101" s="119"/>
    </row>
    <row r="102" spans="2:18" ht="31.5" x14ac:dyDescent="0.25">
      <c r="B102" s="143" t="s">
        <v>77</v>
      </c>
      <c r="C102" s="146">
        <v>3</v>
      </c>
      <c r="D102" s="146">
        <v>3</v>
      </c>
      <c r="E102" s="146"/>
      <c r="F102" s="146">
        <v>627</v>
      </c>
      <c r="G102" s="143"/>
      <c r="H102" s="178" t="s">
        <v>349</v>
      </c>
      <c r="I102" s="161">
        <v>340.07</v>
      </c>
      <c r="J102" s="155">
        <v>376.21</v>
      </c>
      <c r="K102" s="155">
        <v>0</v>
      </c>
      <c r="L102" s="164">
        <v>140.79</v>
      </c>
      <c r="M102" s="183"/>
      <c r="N102" s="172">
        <v>118.34</v>
      </c>
      <c r="O102" s="184">
        <f t="shared" si="12"/>
        <v>118.34</v>
      </c>
      <c r="P102" s="161">
        <v>120</v>
      </c>
      <c r="Q102" s="161">
        <v>120</v>
      </c>
      <c r="R102" s="119"/>
    </row>
    <row r="103" spans="2:18" ht="15.75" x14ac:dyDescent="0.25">
      <c r="B103" s="143" t="s">
        <v>77</v>
      </c>
      <c r="C103" s="146">
        <v>3</v>
      </c>
      <c r="D103" s="146">
        <v>3</v>
      </c>
      <c r="E103" s="146"/>
      <c r="F103" s="146">
        <v>633</v>
      </c>
      <c r="G103" s="143" t="s">
        <v>30</v>
      </c>
      <c r="H103" s="146" t="s">
        <v>87</v>
      </c>
      <c r="I103" s="296">
        <v>0</v>
      </c>
      <c r="J103" s="295">
        <v>0</v>
      </c>
      <c r="K103" s="295">
        <v>0</v>
      </c>
      <c r="L103" s="164">
        <v>0</v>
      </c>
      <c r="M103" s="183"/>
      <c r="N103" s="172">
        <v>450</v>
      </c>
      <c r="O103" s="184">
        <f t="shared" si="12"/>
        <v>450</v>
      </c>
      <c r="P103" s="161">
        <v>450</v>
      </c>
      <c r="Q103" s="161">
        <v>0</v>
      </c>
      <c r="R103" s="119"/>
    </row>
    <row r="104" spans="2:18" ht="15.75" x14ac:dyDescent="0.25">
      <c r="B104" s="143" t="s">
        <v>77</v>
      </c>
      <c r="C104" s="146">
        <v>3</v>
      </c>
      <c r="D104" s="146">
        <v>3</v>
      </c>
      <c r="E104" s="146"/>
      <c r="F104" s="146">
        <v>633</v>
      </c>
      <c r="G104" s="143" t="s">
        <v>35</v>
      </c>
      <c r="H104" s="146" t="s">
        <v>90</v>
      </c>
      <c r="I104" s="161">
        <v>0</v>
      </c>
      <c r="J104" s="155">
        <v>0</v>
      </c>
      <c r="K104" s="155">
        <v>100</v>
      </c>
      <c r="L104" s="164">
        <v>5.5</v>
      </c>
      <c r="M104" s="183">
        <v>150</v>
      </c>
      <c r="N104" s="172">
        <v>0</v>
      </c>
      <c r="O104" s="184">
        <f t="shared" si="12"/>
        <v>150</v>
      </c>
      <c r="P104" s="161">
        <v>150</v>
      </c>
      <c r="Q104" s="161">
        <v>150</v>
      </c>
      <c r="R104" s="119"/>
    </row>
    <row r="105" spans="2:18" ht="15.75" x14ac:dyDescent="0.25">
      <c r="B105" s="143" t="s">
        <v>77</v>
      </c>
      <c r="C105" s="146">
        <v>3</v>
      </c>
      <c r="D105" s="146">
        <v>3</v>
      </c>
      <c r="E105" s="146"/>
      <c r="F105" s="146">
        <v>633</v>
      </c>
      <c r="G105" s="143" t="s">
        <v>125</v>
      </c>
      <c r="H105" s="146" t="s">
        <v>143</v>
      </c>
      <c r="I105" s="161">
        <v>0</v>
      </c>
      <c r="J105" s="155">
        <v>0</v>
      </c>
      <c r="K105" s="155">
        <v>150</v>
      </c>
      <c r="L105" s="164">
        <v>0</v>
      </c>
      <c r="M105" s="183">
        <v>100</v>
      </c>
      <c r="N105" s="172">
        <v>0</v>
      </c>
      <c r="O105" s="184">
        <f t="shared" si="12"/>
        <v>100</v>
      </c>
      <c r="P105" s="161">
        <v>100</v>
      </c>
      <c r="Q105" s="161">
        <v>100</v>
      </c>
      <c r="R105" s="119"/>
    </row>
    <row r="106" spans="2:18" ht="15.75" x14ac:dyDescent="0.25">
      <c r="B106" s="143" t="s">
        <v>77</v>
      </c>
      <c r="C106" s="146">
        <v>3</v>
      </c>
      <c r="D106" s="146">
        <v>3</v>
      </c>
      <c r="E106" s="146"/>
      <c r="F106" s="146">
        <v>637</v>
      </c>
      <c r="G106" s="143" t="s">
        <v>127</v>
      </c>
      <c r="H106" s="146" t="s">
        <v>115</v>
      </c>
      <c r="I106" s="161">
        <v>643.49</v>
      </c>
      <c r="J106" s="155">
        <v>641.65</v>
      </c>
      <c r="K106" s="155">
        <v>700</v>
      </c>
      <c r="L106" s="164">
        <v>799.34</v>
      </c>
      <c r="M106" s="183"/>
      <c r="N106" s="172">
        <v>800</v>
      </c>
      <c r="O106" s="184">
        <f t="shared" si="12"/>
        <v>800</v>
      </c>
      <c r="P106" s="161">
        <v>800</v>
      </c>
      <c r="Q106" s="161">
        <v>800</v>
      </c>
      <c r="R106" s="119"/>
    </row>
    <row r="107" spans="2:18" ht="15.75" x14ac:dyDescent="0.25">
      <c r="B107" s="143" t="s">
        <v>77</v>
      </c>
      <c r="C107" s="146">
        <v>3</v>
      </c>
      <c r="D107" s="146">
        <v>3</v>
      </c>
      <c r="E107" s="146"/>
      <c r="F107" s="146">
        <v>637</v>
      </c>
      <c r="G107" s="143" t="s">
        <v>126</v>
      </c>
      <c r="H107" s="146" t="s">
        <v>382</v>
      </c>
      <c r="I107" s="161">
        <v>0</v>
      </c>
      <c r="J107" s="155">
        <v>0</v>
      </c>
      <c r="K107" s="155">
        <v>200</v>
      </c>
      <c r="L107" s="164">
        <v>140.08000000000001</v>
      </c>
      <c r="M107" s="183"/>
      <c r="N107" s="172">
        <v>59.17</v>
      </c>
      <c r="O107" s="184">
        <f t="shared" si="12"/>
        <v>59.17</v>
      </c>
      <c r="P107" s="161">
        <v>60</v>
      </c>
      <c r="Q107" s="161">
        <v>60</v>
      </c>
      <c r="R107" s="119"/>
    </row>
    <row r="108" spans="2:18" ht="16.5" thickBot="1" x14ac:dyDescent="0.3">
      <c r="B108" s="144" t="s">
        <v>77</v>
      </c>
      <c r="C108" s="147">
        <v>3</v>
      </c>
      <c r="D108" s="147">
        <v>3</v>
      </c>
      <c r="E108" s="147"/>
      <c r="F108" s="147">
        <v>642</v>
      </c>
      <c r="G108" s="144" t="s">
        <v>35</v>
      </c>
      <c r="H108" s="28" t="s">
        <v>144</v>
      </c>
      <c r="I108" s="162">
        <v>66</v>
      </c>
      <c r="J108" s="215">
        <v>16</v>
      </c>
      <c r="K108" s="215">
        <v>100</v>
      </c>
      <c r="L108" s="165">
        <v>16</v>
      </c>
      <c r="M108" s="192"/>
      <c r="N108" s="193">
        <v>50</v>
      </c>
      <c r="O108" s="184">
        <f t="shared" si="12"/>
        <v>50</v>
      </c>
      <c r="P108" s="162">
        <v>20</v>
      </c>
      <c r="Q108" s="162">
        <v>20</v>
      </c>
      <c r="R108" s="119"/>
    </row>
    <row r="109" spans="2:18" ht="18.75" customHeight="1" thickBot="1" x14ac:dyDescent="0.35">
      <c r="B109" s="444" t="s">
        <v>145</v>
      </c>
      <c r="C109" s="445"/>
      <c r="D109" s="445"/>
      <c r="E109" s="445"/>
      <c r="F109" s="445"/>
      <c r="G109" s="445"/>
      <c r="H109" s="457"/>
      <c r="I109" s="171">
        <f>SUM(I92:I108)</f>
        <v>24133.58</v>
      </c>
      <c r="J109" s="171">
        <f>SUM(J92:J108)</f>
        <v>20878.460000000003</v>
      </c>
      <c r="K109" s="171">
        <f t="shared" ref="K109:Q109" si="13">SUM(K92:K108)</f>
        <v>5519</v>
      </c>
      <c r="L109" s="171">
        <f t="shared" si="13"/>
        <v>5309.4699999999993</v>
      </c>
      <c r="M109" s="78">
        <f>SUM(M92:M108)</f>
        <v>2420</v>
      </c>
      <c r="N109" s="78">
        <f>SUM(N92:N108)</f>
        <v>7292.5015000000003</v>
      </c>
      <c r="O109" s="78">
        <f>SUM(O92:O108)</f>
        <v>9712.5015000000003</v>
      </c>
      <c r="P109" s="195">
        <f t="shared" si="13"/>
        <v>9702</v>
      </c>
      <c r="Q109" s="101">
        <f t="shared" si="13"/>
        <v>9252</v>
      </c>
      <c r="R109" s="119"/>
    </row>
    <row r="110" spans="2:18" ht="19.5" thickBot="1" x14ac:dyDescent="0.35">
      <c r="R110" s="119"/>
    </row>
    <row r="111" spans="2:18" ht="20.25" thickBot="1" x14ac:dyDescent="0.3">
      <c r="B111" s="399" t="s">
        <v>147</v>
      </c>
      <c r="C111" s="400"/>
      <c r="D111" s="400"/>
      <c r="E111" s="400"/>
      <c r="F111" s="400"/>
      <c r="G111" s="400"/>
      <c r="H111" s="400"/>
      <c r="I111" s="400"/>
      <c r="J111" s="400"/>
      <c r="K111" s="400"/>
      <c r="L111" s="400"/>
      <c r="M111" s="400"/>
      <c r="N111" s="400"/>
      <c r="O111" s="400"/>
      <c r="P111" s="400"/>
      <c r="Q111" s="401"/>
      <c r="R111" s="119"/>
    </row>
    <row r="112" spans="2:18" ht="16.5" customHeight="1" thickBot="1" x14ac:dyDescent="0.3">
      <c r="B112" s="402" t="s">
        <v>64</v>
      </c>
      <c r="C112" s="402" t="s">
        <v>65</v>
      </c>
      <c r="D112" s="402" t="s">
        <v>66</v>
      </c>
      <c r="E112" s="402" t="s">
        <v>67</v>
      </c>
      <c r="F112" s="402" t="s">
        <v>24</v>
      </c>
      <c r="G112" s="405" t="s">
        <v>25</v>
      </c>
      <c r="H112" s="402" t="s">
        <v>22</v>
      </c>
      <c r="I112" s="397" t="s">
        <v>68</v>
      </c>
      <c r="J112" s="397" t="s">
        <v>303</v>
      </c>
      <c r="K112" s="397" t="s">
        <v>365</v>
      </c>
      <c r="L112" s="397" t="s">
        <v>364</v>
      </c>
      <c r="M112" s="409" t="s">
        <v>18</v>
      </c>
      <c r="N112" s="410"/>
      <c r="O112" s="411"/>
      <c r="P112" s="397" t="s">
        <v>0</v>
      </c>
      <c r="Q112" s="397" t="s">
        <v>294</v>
      </c>
      <c r="R112" s="119"/>
    </row>
    <row r="113" spans="2:18" ht="36" customHeight="1" thickBot="1" x14ac:dyDescent="0.3">
      <c r="B113" s="403"/>
      <c r="C113" s="403"/>
      <c r="D113" s="403"/>
      <c r="E113" s="403"/>
      <c r="F113" s="403"/>
      <c r="G113" s="406"/>
      <c r="H113" s="403"/>
      <c r="I113" s="398"/>
      <c r="J113" s="398"/>
      <c r="K113" s="398"/>
      <c r="L113" s="408"/>
      <c r="M113" s="80">
        <v>111</v>
      </c>
      <c r="N113" s="80">
        <v>41</v>
      </c>
      <c r="O113" s="81" t="s">
        <v>106</v>
      </c>
      <c r="P113" s="456"/>
      <c r="Q113" s="398"/>
      <c r="R113" s="119"/>
    </row>
    <row r="114" spans="2:18" ht="16.5" thickBot="1" x14ac:dyDescent="0.3">
      <c r="B114" s="41" t="s">
        <v>70</v>
      </c>
      <c r="C114" s="41" t="s">
        <v>71</v>
      </c>
      <c r="D114" s="41" t="s">
        <v>72</v>
      </c>
      <c r="E114" s="41" t="s">
        <v>73</v>
      </c>
      <c r="F114" s="41" t="s">
        <v>74</v>
      </c>
      <c r="G114" s="43" t="s">
        <v>75</v>
      </c>
      <c r="H114" s="50" t="s">
        <v>76</v>
      </c>
      <c r="I114" s="43">
        <v>1</v>
      </c>
      <c r="J114" s="53">
        <v>2</v>
      </c>
      <c r="K114" s="53" t="s">
        <v>152</v>
      </c>
      <c r="L114" s="43" t="s">
        <v>366</v>
      </c>
      <c r="M114" s="169" t="s">
        <v>336</v>
      </c>
      <c r="N114" s="170" t="s">
        <v>337</v>
      </c>
      <c r="O114" s="170" t="s">
        <v>338</v>
      </c>
      <c r="P114" s="43" t="s">
        <v>339</v>
      </c>
      <c r="Q114" s="43" t="s">
        <v>340</v>
      </c>
      <c r="R114" s="119"/>
    </row>
    <row r="115" spans="2:18" ht="15.75" x14ac:dyDescent="0.25">
      <c r="B115" s="142" t="s">
        <v>77</v>
      </c>
      <c r="C115" s="145">
        <v>6</v>
      </c>
      <c r="D115" s="145">
        <v>0</v>
      </c>
      <c r="E115" s="145"/>
      <c r="F115" s="145">
        <v>611</v>
      </c>
      <c r="G115" s="142"/>
      <c r="H115" s="145" t="s">
        <v>140</v>
      </c>
      <c r="I115" s="160">
        <v>0</v>
      </c>
      <c r="J115" s="160">
        <v>0</v>
      </c>
      <c r="K115" s="160">
        <v>0</v>
      </c>
      <c r="L115" s="160">
        <v>115.27</v>
      </c>
      <c r="M115" s="189">
        <v>0</v>
      </c>
      <c r="N115" s="190">
        <v>0</v>
      </c>
      <c r="O115" s="191">
        <f t="shared" ref="O115:O126" si="14">N115+M115</f>
        <v>0</v>
      </c>
      <c r="P115" s="160">
        <v>0</v>
      </c>
      <c r="Q115" s="160">
        <v>0</v>
      </c>
      <c r="R115" s="119"/>
    </row>
    <row r="116" spans="2:18" ht="15.75" x14ac:dyDescent="0.25">
      <c r="B116" s="143" t="s">
        <v>77</v>
      </c>
      <c r="C116" s="146">
        <v>6</v>
      </c>
      <c r="D116" s="146">
        <v>0</v>
      </c>
      <c r="E116" s="146"/>
      <c r="F116" s="146">
        <v>620</v>
      </c>
      <c r="G116" s="143"/>
      <c r="H116" s="146" t="s">
        <v>149</v>
      </c>
      <c r="I116" s="161">
        <v>0</v>
      </c>
      <c r="J116" s="161">
        <v>0</v>
      </c>
      <c r="K116" s="161">
        <v>0</v>
      </c>
      <c r="L116" s="161">
        <v>36.57</v>
      </c>
      <c r="M116" s="183">
        <v>0</v>
      </c>
      <c r="N116" s="172">
        <v>0</v>
      </c>
      <c r="O116" s="184">
        <f t="shared" si="14"/>
        <v>0</v>
      </c>
      <c r="P116" s="161">
        <v>0</v>
      </c>
      <c r="Q116" s="161">
        <v>0</v>
      </c>
      <c r="R116" s="119"/>
    </row>
    <row r="117" spans="2:18" ht="15.75" x14ac:dyDescent="0.25">
      <c r="B117" s="143"/>
      <c r="C117" s="146"/>
      <c r="D117" s="146"/>
      <c r="E117" s="146"/>
      <c r="F117" s="146">
        <v>632</v>
      </c>
      <c r="G117" s="143" t="s">
        <v>30</v>
      </c>
      <c r="H117" s="146" t="s">
        <v>83</v>
      </c>
      <c r="I117" s="161">
        <v>0</v>
      </c>
      <c r="J117" s="161">
        <v>0</v>
      </c>
      <c r="K117" s="161">
        <v>0</v>
      </c>
      <c r="L117" s="161">
        <v>100</v>
      </c>
      <c r="M117" s="183">
        <v>0</v>
      </c>
      <c r="N117" s="172">
        <v>0</v>
      </c>
      <c r="O117" s="184">
        <f t="shared" si="14"/>
        <v>0</v>
      </c>
      <c r="P117" s="161">
        <v>0</v>
      </c>
      <c r="Q117" s="161">
        <v>0</v>
      </c>
      <c r="R117" s="119"/>
    </row>
    <row r="118" spans="2:18" ht="15.75" x14ac:dyDescent="0.25">
      <c r="B118" s="143"/>
      <c r="C118" s="146"/>
      <c r="D118" s="146"/>
      <c r="E118" s="146"/>
      <c r="F118" s="146">
        <v>632</v>
      </c>
      <c r="G118" s="143" t="s">
        <v>107</v>
      </c>
      <c r="H118" s="146" t="s">
        <v>165</v>
      </c>
      <c r="I118" s="161">
        <v>0</v>
      </c>
      <c r="J118" s="161">
        <v>0</v>
      </c>
      <c r="K118" s="161">
        <v>0</v>
      </c>
      <c r="L118" s="161">
        <v>5</v>
      </c>
      <c r="M118" s="183">
        <v>0</v>
      </c>
      <c r="N118" s="172">
        <v>0</v>
      </c>
      <c r="O118" s="184">
        <f t="shared" si="14"/>
        <v>0</v>
      </c>
      <c r="P118" s="161">
        <v>0</v>
      </c>
      <c r="Q118" s="161">
        <v>0</v>
      </c>
      <c r="R118" s="119"/>
    </row>
    <row r="119" spans="2:18" ht="15.75" x14ac:dyDescent="0.25">
      <c r="B119" s="143"/>
      <c r="C119" s="146"/>
      <c r="D119" s="146"/>
      <c r="E119" s="146"/>
      <c r="F119" s="146">
        <v>633</v>
      </c>
      <c r="G119" s="143" t="s">
        <v>31</v>
      </c>
      <c r="H119" s="146" t="s">
        <v>88</v>
      </c>
      <c r="I119" s="161">
        <v>0</v>
      </c>
      <c r="J119" s="161">
        <v>0</v>
      </c>
      <c r="K119" s="161">
        <v>0</v>
      </c>
      <c r="L119" s="161">
        <v>21</v>
      </c>
      <c r="M119" s="183">
        <v>0</v>
      </c>
      <c r="N119" s="172">
        <v>0</v>
      </c>
      <c r="O119" s="184">
        <f t="shared" si="14"/>
        <v>0</v>
      </c>
      <c r="P119" s="161">
        <v>0</v>
      </c>
      <c r="Q119" s="161">
        <v>0</v>
      </c>
      <c r="R119" s="119"/>
    </row>
    <row r="120" spans="2:18" ht="15.75" x14ac:dyDescent="0.25">
      <c r="B120" s="143" t="s">
        <v>77</v>
      </c>
      <c r="C120" s="146">
        <v>6</v>
      </c>
      <c r="D120" s="146">
        <v>0</v>
      </c>
      <c r="E120" s="146"/>
      <c r="F120" s="146">
        <v>632</v>
      </c>
      <c r="G120" s="143" t="s">
        <v>29</v>
      </c>
      <c r="H120" s="146" t="s">
        <v>85</v>
      </c>
      <c r="I120" s="161">
        <v>0</v>
      </c>
      <c r="J120" s="161">
        <v>0</v>
      </c>
      <c r="K120" s="161">
        <v>0</v>
      </c>
      <c r="L120" s="161">
        <v>0</v>
      </c>
      <c r="M120" s="183">
        <v>0</v>
      </c>
      <c r="N120" s="172">
        <v>0</v>
      </c>
      <c r="O120" s="184">
        <f t="shared" si="14"/>
        <v>0</v>
      </c>
      <c r="P120" s="161">
        <v>0</v>
      </c>
      <c r="Q120" s="161">
        <v>0</v>
      </c>
      <c r="R120" s="119"/>
    </row>
    <row r="121" spans="2:18" ht="15.75" x14ac:dyDescent="0.25">
      <c r="B121" s="143" t="s">
        <v>77</v>
      </c>
      <c r="C121" s="146">
        <v>6</v>
      </c>
      <c r="D121" s="146">
        <v>0</v>
      </c>
      <c r="E121" s="146"/>
      <c r="F121" s="146">
        <v>633</v>
      </c>
      <c r="G121" s="143" t="s">
        <v>35</v>
      </c>
      <c r="H121" s="146" t="s">
        <v>90</v>
      </c>
      <c r="I121" s="161">
        <v>13.89</v>
      </c>
      <c r="J121" s="161">
        <v>0</v>
      </c>
      <c r="K121" s="161">
        <v>0</v>
      </c>
      <c r="L121" s="161">
        <v>34</v>
      </c>
      <c r="M121" s="183">
        <v>0</v>
      </c>
      <c r="N121" s="172">
        <v>0</v>
      </c>
      <c r="O121" s="184">
        <f t="shared" si="14"/>
        <v>0</v>
      </c>
      <c r="P121" s="161">
        <v>0</v>
      </c>
      <c r="Q121" s="161">
        <v>0</v>
      </c>
      <c r="R121" s="119"/>
    </row>
    <row r="122" spans="2:18" ht="15.75" x14ac:dyDescent="0.25">
      <c r="B122" s="143" t="s">
        <v>77</v>
      </c>
      <c r="C122" s="146">
        <v>6</v>
      </c>
      <c r="D122" s="146">
        <v>0</v>
      </c>
      <c r="E122" s="146"/>
      <c r="F122" s="146">
        <v>633</v>
      </c>
      <c r="G122" s="143" t="s">
        <v>126</v>
      </c>
      <c r="H122" s="146" t="s">
        <v>150</v>
      </c>
      <c r="I122" s="161">
        <v>18</v>
      </c>
      <c r="J122" s="161">
        <v>0</v>
      </c>
      <c r="K122" s="161">
        <v>0</v>
      </c>
      <c r="L122" s="161">
        <v>15</v>
      </c>
      <c r="M122" s="183">
        <v>0</v>
      </c>
      <c r="N122" s="172">
        <v>0</v>
      </c>
      <c r="O122" s="184">
        <f t="shared" si="14"/>
        <v>0</v>
      </c>
      <c r="P122" s="161">
        <v>0</v>
      </c>
      <c r="Q122" s="161">
        <v>0</v>
      </c>
      <c r="R122" s="119"/>
    </row>
    <row r="123" spans="2:18" ht="15.75" x14ac:dyDescent="0.25">
      <c r="B123" s="143" t="s">
        <v>77</v>
      </c>
      <c r="C123" s="146">
        <v>6</v>
      </c>
      <c r="D123" s="146">
        <v>0</v>
      </c>
      <c r="E123" s="146"/>
      <c r="F123" s="146">
        <v>634</v>
      </c>
      <c r="G123" s="143" t="s">
        <v>34</v>
      </c>
      <c r="H123" s="146" t="s">
        <v>356</v>
      </c>
      <c r="I123" s="161">
        <v>0</v>
      </c>
      <c r="J123" s="161">
        <v>0</v>
      </c>
      <c r="K123" s="161">
        <v>0</v>
      </c>
      <c r="L123" s="161">
        <v>16</v>
      </c>
      <c r="M123" s="183">
        <v>0</v>
      </c>
      <c r="N123" s="172">
        <v>0</v>
      </c>
      <c r="O123" s="184">
        <f t="shared" si="14"/>
        <v>0</v>
      </c>
      <c r="P123" s="161">
        <v>0</v>
      </c>
      <c r="Q123" s="161">
        <v>0</v>
      </c>
      <c r="R123" s="119"/>
    </row>
    <row r="124" spans="2:18" ht="15.75" x14ac:dyDescent="0.25">
      <c r="B124" s="143" t="s">
        <v>77</v>
      </c>
      <c r="C124" s="146">
        <v>6</v>
      </c>
      <c r="D124" s="146">
        <v>0</v>
      </c>
      <c r="E124" s="146"/>
      <c r="F124" s="146">
        <v>637</v>
      </c>
      <c r="G124" s="143" t="s">
        <v>127</v>
      </c>
      <c r="H124" s="146" t="s">
        <v>115</v>
      </c>
      <c r="I124" s="161">
        <v>105</v>
      </c>
      <c r="J124" s="161">
        <v>0</v>
      </c>
      <c r="K124" s="161">
        <v>0</v>
      </c>
      <c r="L124" s="161">
        <v>0</v>
      </c>
      <c r="M124" s="183">
        <v>0</v>
      </c>
      <c r="N124" s="172">
        <v>0</v>
      </c>
      <c r="O124" s="184">
        <f t="shared" si="14"/>
        <v>0</v>
      </c>
      <c r="P124" s="161">
        <v>0</v>
      </c>
      <c r="Q124" s="161">
        <v>0</v>
      </c>
      <c r="R124" s="119"/>
    </row>
    <row r="125" spans="2:18" ht="15.75" x14ac:dyDescent="0.25">
      <c r="B125" s="207"/>
      <c r="C125" s="166"/>
      <c r="D125" s="166"/>
      <c r="E125" s="166"/>
      <c r="F125" s="166">
        <v>637</v>
      </c>
      <c r="G125" s="207" t="s">
        <v>135</v>
      </c>
      <c r="H125" s="166" t="s">
        <v>398</v>
      </c>
      <c r="I125" s="167">
        <v>0</v>
      </c>
      <c r="J125" s="167">
        <v>0</v>
      </c>
      <c r="K125" s="167">
        <v>0</v>
      </c>
      <c r="L125" s="167">
        <v>76.8</v>
      </c>
      <c r="M125" s="183">
        <v>0</v>
      </c>
      <c r="N125" s="172">
        <v>0</v>
      </c>
      <c r="O125" s="184">
        <f>N125+M125</f>
        <v>0</v>
      </c>
      <c r="P125" s="167">
        <v>0</v>
      </c>
      <c r="Q125" s="167">
        <v>0</v>
      </c>
      <c r="R125" s="119"/>
    </row>
    <row r="126" spans="2:18" ht="16.5" thickBot="1" x14ac:dyDescent="0.3">
      <c r="B126" s="144" t="s">
        <v>77</v>
      </c>
      <c r="C126" s="147">
        <v>6</v>
      </c>
      <c r="D126" s="147">
        <v>0</v>
      </c>
      <c r="E126" s="147"/>
      <c r="F126" s="147">
        <v>637</v>
      </c>
      <c r="G126" s="144" t="s">
        <v>38</v>
      </c>
      <c r="H126" s="147" t="s">
        <v>151</v>
      </c>
      <c r="I126" s="162">
        <v>428.02</v>
      </c>
      <c r="J126" s="162">
        <v>0</v>
      </c>
      <c r="K126" s="162">
        <v>0</v>
      </c>
      <c r="L126" s="162">
        <v>1051.31</v>
      </c>
      <c r="M126" s="185">
        <v>0</v>
      </c>
      <c r="N126" s="173">
        <v>0</v>
      </c>
      <c r="O126" s="184">
        <f t="shared" si="14"/>
        <v>0</v>
      </c>
      <c r="P126" s="162">
        <v>0</v>
      </c>
      <c r="Q126" s="167">
        <v>0</v>
      </c>
      <c r="R126" s="119"/>
    </row>
    <row r="127" spans="2:18" ht="18.75" customHeight="1" thickBot="1" x14ac:dyDescent="0.35">
      <c r="B127" s="415" t="s">
        <v>148</v>
      </c>
      <c r="C127" s="416"/>
      <c r="D127" s="416"/>
      <c r="E127" s="416"/>
      <c r="F127" s="416"/>
      <c r="G127" s="416"/>
      <c r="H127" s="416"/>
      <c r="I127" s="171">
        <f>SUM(I115:I126)</f>
        <v>564.91</v>
      </c>
      <c r="J127" s="171">
        <f>SUM(J115:J126)</f>
        <v>0</v>
      </c>
      <c r="K127" s="196">
        <f t="shared" ref="K127:Q127" si="15">SUM(K115:K126)</f>
        <v>0</v>
      </c>
      <c r="L127" s="196">
        <f>SUM(L115:L126)</f>
        <v>1470.95</v>
      </c>
      <c r="M127" s="77">
        <f t="shared" si="15"/>
        <v>0</v>
      </c>
      <c r="N127" s="77">
        <f t="shared" si="15"/>
        <v>0</v>
      </c>
      <c r="O127" s="77">
        <f>SUM(O115:O126)</f>
        <v>0</v>
      </c>
      <c r="P127" s="100">
        <f t="shared" si="15"/>
        <v>0</v>
      </c>
      <c r="Q127" s="40">
        <f t="shared" si="15"/>
        <v>0</v>
      </c>
      <c r="R127" s="119"/>
    </row>
    <row r="128" spans="2:18" ht="19.5" thickBot="1" x14ac:dyDescent="0.35">
      <c r="R128" s="119"/>
    </row>
    <row r="129" spans="2:18" ht="20.25" thickBot="1" x14ac:dyDescent="0.3">
      <c r="B129" s="399" t="s">
        <v>153</v>
      </c>
      <c r="C129" s="400"/>
      <c r="D129" s="400"/>
      <c r="E129" s="400"/>
      <c r="F129" s="400"/>
      <c r="G129" s="400"/>
      <c r="H129" s="400"/>
      <c r="I129" s="400"/>
      <c r="J129" s="400"/>
      <c r="K129" s="400"/>
      <c r="L129" s="400"/>
      <c r="M129" s="400"/>
      <c r="N129" s="400"/>
      <c r="O129" s="400"/>
      <c r="P129" s="400"/>
      <c r="Q129" s="401"/>
      <c r="R129" s="119"/>
    </row>
    <row r="130" spans="2:18" ht="16.5" customHeight="1" thickBot="1" x14ac:dyDescent="0.3">
      <c r="B130" s="402" t="s">
        <v>64</v>
      </c>
      <c r="C130" s="402" t="s">
        <v>65</v>
      </c>
      <c r="D130" s="402" t="s">
        <v>66</v>
      </c>
      <c r="E130" s="402" t="s">
        <v>67</v>
      </c>
      <c r="F130" s="402" t="s">
        <v>24</v>
      </c>
      <c r="G130" s="405" t="s">
        <v>25</v>
      </c>
      <c r="H130" s="402" t="s">
        <v>22</v>
      </c>
      <c r="I130" s="397" t="s">
        <v>68</v>
      </c>
      <c r="J130" s="397" t="s">
        <v>303</v>
      </c>
      <c r="K130" s="397" t="s">
        <v>365</v>
      </c>
      <c r="L130" s="397" t="s">
        <v>364</v>
      </c>
      <c r="M130" s="409" t="s">
        <v>18</v>
      </c>
      <c r="N130" s="410"/>
      <c r="O130" s="411"/>
      <c r="P130" s="397" t="s">
        <v>0</v>
      </c>
      <c r="Q130" s="397" t="s">
        <v>294</v>
      </c>
      <c r="R130" s="119"/>
    </row>
    <row r="131" spans="2:18" ht="34.5" customHeight="1" thickBot="1" x14ac:dyDescent="0.3">
      <c r="B131" s="403"/>
      <c r="C131" s="403"/>
      <c r="D131" s="403"/>
      <c r="E131" s="403"/>
      <c r="F131" s="403"/>
      <c r="G131" s="406"/>
      <c r="H131" s="403"/>
      <c r="I131" s="398"/>
      <c r="J131" s="398"/>
      <c r="K131" s="398"/>
      <c r="L131" s="408"/>
      <c r="M131" s="80">
        <v>111</v>
      </c>
      <c r="N131" s="80">
        <v>41</v>
      </c>
      <c r="O131" s="81" t="s">
        <v>106</v>
      </c>
      <c r="P131" s="398"/>
      <c r="Q131" s="398"/>
      <c r="R131" s="119"/>
    </row>
    <row r="132" spans="2:18" ht="16.5" thickBot="1" x14ac:dyDescent="0.3">
      <c r="B132" s="41" t="s">
        <v>70</v>
      </c>
      <c r="C132" s="41" t="s">
        <v>71</v>
      </c>
      <c r="D132" s="41" t="s">
        <v>72</v>
      </c>
      <c r="E132" s="41" t="s">
        <v>73</v>
      </c>
      <c r="F132" s="55" t="s">
        <v>74</v>
      </c>
      <c r="G132" s="43" t="s">
        <v>75</v>
      </c>
      <c r="H132" s="50" t="s">
        <v>76</v>
      </c>
      <c r="I132" s="43">
        <v>1</v>
      </c>
      <c r="J132" s="53">
        <v>2</v>
      </c>
      <c r="K132" s="53" t="s">
        <v>152</v>
      </c>
      <c r="L132" s="43" t="s">
        <v>366</v>
      </c>
      <c r="M132" s="169" t="s">
        <v>337</v>
      </c>
      <c r="N132" s="170" t="s">
        <v>337</v>
      </c>
      <c r="O132" s="170" t="s">
        <v>338</v>
      </c>
      <c r="P132" s="43" t="s">
        <v>339</v>
      </c>
      <c r="Q132" s="43" t="s">
        <v>340</v>
      </c>
      <c r="R132" s="119"/>
    </row>
    <row r="133" spans="2:18" ht="31.5" x14ac:dyDescent="0.25">
      <c r="B133" s="142" t="s">
        <v>77</v>
      </c>
      <c r="C133" s="145">
        <v>7</v>
      </c>
      <c r="D133" s="145">
        <v>0</v>
      </c>
      <c r="E133" s="145"/>
      <c r="F133" s="145">
        <v>651</v>
      </c>
      <c r="G133" s="142" t="s">
        <v>31</v>
      </c>
      <c r="H133" s="197" t="s">
        <v>154</v>
      </c>
      <c r="I133" s="198">
        <v>1819.37</v>
      </c>
      <c r="J133" s="198">
        <v>1683.79</v>
      </c>
      <c r="K133" s="198">
        <v>1800</v>
      </c>
      <c r="L133" s="198">
        <v>1427.09</v>
      </c>
      <c r="M133" s="199">
        <v>0</v>
      </c>
      <c r="N133" s="200">
        <v>1800</v>
      </c>
      <c r="O133" s="201">
        <f>M133+N133</f>
        <v>1800</v>
      </c>
      <c r="P133" s="198">
        <v>1800</v>
      </c>
      <c r="Q133" s="198">
        <v>1800</v>
      </c>
      <c r="R133" s="119"/>
    </row>
    <row r="134" spans="2:18" ht="16.5" thickBot="1" x14ac:dyDescent="0.3">
      <c r="B134" s="144" t="s">
        <v>77</v>
      </c>
      <c r="C134" s="147">
        <v>7</v>
      </c>
      <c r="D134" s="147">
        <v>0</v>
      </c>
      <c r="E134" s="147"/>
      <c r="F134" s="147">
        <v>651</v>
      </c>
      <c r="G134" s="144" t="s">
        <v>29</v>
      </c>
      <c r="H134" s="147" t="s">
        <v>155</v>
      </c>
      <c r="I134" s="162">
        <v>7632.82</v>
      </c>
      <c r="J134" s="162">
        <v>7229.58</v>
      </c>
      <c r="K134" s="162">
        <v>6900</v>
      </c>
      <c r="L134" s="162">
        <v>6878.57</v>
      </c>
      <c r="M134" s="192">
        <v>0</v>
      </c>
      <c r="N134" s="193">
        <v>6800</v>
      </c>
      <c r="O134" s="202">
        <f>M134+N134</f>
        <v>6800</v>
      </c>
      <c r="P134" s="162">
        <v>6800</v>
      </c>
      <c r="Q134" s="162">
        <v>6800</v>
      </c>
      <c r="R134" s="119"/>
    </row>
    <row r="135" spans="2:18" ht="18.75" customHeight="1" thickBot="1" x14ac:dyDescent="0.35">
      <c r="B135" s="415" t="s">
        <v>156</v>
      </c>
      <c r="C135" s="416"/>
      <c r="D135" s="416"/>
      <c r="E135" s="416"/>
      <c r="F135" s="416"/>
      <c r="G135" s="416"/>
      <c r="H135" s="458"/>
      <c r="I135" s="171">
        <f>SUM(I133:I134)</f>
        <v>9452.1899999999987</v>
      </c>
      <c r="J135" s="171">
        <f>SUM(J133:J134)</f>
        <v>8913.369999999999</v>
      </c>
      <c r="K135" s="171">
        <f t="shared" ref="K135:M135" si="16">SUM(K133:K134)</f>
        <v>8700</v>
      </c>
      <c r="L135" s="171">
        <f t="shared" si="16"/>
        <v>8305.66</v>
      </c>
      <c r="M135" s="78">
        <f t="shared" si="16"/>
        <v>0</v>
      </c>
      <c r="N135" s="78">
        <f t="shared" ref="N135" si="17">SUM(N133:N134)</f>
        <v>8600</v>
      </c>
      <c r="O135" s="78">
        <f>SUM(O133:O134)</f>
        <v>8600</v>
      </c>
      <c r="P135" s="171">
        <f t="shared" ref="P135" si="18">SUM(P133:P134)</f>
        <v>8600</v>
      </c>
      <c r="Q135" s="171">
        <f t="shared" ref="Q135" si="19">SUM(Q133:Q134)</f>
        <v>8600</v>
      </c>
      <c r="R135" s="119"/>
    </row>
    <row r="136" spans="2:18" ht="19.5" thickBot="1" x14ac:dyDescent="0.35">
      <c r="R136" s="119"/>
    </row>
    <row r="137" spans="2:18" ht="20.25" thickBot="1" x14ac:dyDescent="0.3">
      <c r="B137" s="399" t="s">
        <v>158</v>
      </c>
      <c r="C137" s="400"/>
      <c r="D137" s="400"/>
      <c r="E137" s="400"/>
      <c r="F137" s="400"/>
      <c r="G137" s="400"/>
      <c r="H137" s="400"/>
      <c r="I137" s="400"/>
      <c r="J137" s="400"/>
      <c r="K137" s="400"/>
      <c r="L137" s="400"/>
      <c r="M137" s="400"/>
      <c r="N137" s="400"/>
      <c r="O137" s="400"/>
      <c r="P137" s="400"/>
      <c r="Q137" s="401"/>
      <c r="R137" s="119"/>
    </row>
    <row r="138" spans="2:18" ht="16.5" thickBot="1" x14ac:dyDescent="0.3">
      <c r="B138" s="402" t="s">
        <v>64</v>
      </c>
      <c r="C138" s="402" t="s">
        <v>65</v>
      </c>
      <c r="D138" s="402" t="s">
        <v>66</v>
      </c>
      <c r="E138" s="402" t="s">
        <v>67</v>
      </c>
      <c r="F138" s="402" t="s">
        <v>24</v>
      </c>
      <c r="G138" s="405" t="s">
        <v>25</v>
      </c>
      <c r="H138" s="402" t="s">
        <v>22</v>
      </c>
      <c r="I138" s="397" t="s">
        <v>68</v>
      </c>
      <c r="J138" s="397" t="s">
        <v>303</v>
      </c>
      <c r="K138" s="397" t="s">
        <v>365</v>
      </c>
      <c r="L138" s="397" t="s">
        <v>364</v>
      </c>
      <c r="M138" s="409" t="s">
        <v>18</v>
      </c>
      <c r="N138" s="410"/>
      <c r="O138" s="411"/>
      <c r="P138" s="397" t="s">
        <v>0</v>
      </c>
      <c r="Q138" s="397" t="s">
        <v>294</v>
      </c>
      <c r="R138" s="119"/>
    </row>
    <row r="139" spans="2:18" ht="29.25" customHeight="1" thickBot="1" x14ac:dyDescent="0.3">
      <c r="B139" s="403"/>
      <c r="C139" s="403"/>
      <c r="D139" s="403"/>
      <c r="E139" s="403"/>
      <c r="F139" s="403"/>
      <c r="G139" s="406"/>
      <c r="H139" s="403"/>
      <c r="I139" s="398"/>
      <c r="J139" s="398"/>
      <c r="K139" s="398"/>
      <c r="L139" s="408"/>
      <c r="M139" s="80">
        <v>111</v>
      </c>
      <c r="N139" s="80">
        <v>41</v>
      </c>
      <c r="O139" s="81" t="s">
        <v>106</v>
      </c>
      <c r="P139" s="456"/>
      <c r="Q139" s="398"/>
      <c r="R139" s="119"/>
    </row>
    <row r="140" spans="2:18" ht="16.5" thickBot="1" x14ac:dyDescent="0.3">
      <c r="B140" s="41" t="s">
        <v>70</v>
      </c>
      <c r="C140" s="41" t="s">
        <v>71</v>
      </c>
      <c r="D140" s="41" t="s">
        <v>72</v>
      </c>
      <c r="E140" s="41" t="s">
        <v>73</v>
      </c>
      <c r="F140" s="41" t="s">
        <v>74</v>
      </c>
      <c r="G140" s="43" t="s">
        <v>75</v>
      </c>
      <c r="H140" s="50" t="s">
        <v>76</v>
      </c>
      <c r="I140" s="45">
        <v>1</v>
      </c>
      <c r="J140" s="46">
        <v>2</v>
      </c>
      <c r="K140" s="45" t="s">
        <v>152</v>
      </c>
      <c r="L140" s="45" t="s">
        <v>366</v>
      </c>
      <c r="M140" s="312" t="s">
        <v>336</v>
      </c>
      <c r="N140" s="79" t="s">
        <v>337</v>
      </c>
      <c r="O140" s="79" t="s">
        <v>338</v>
      </c>
      <c r="P140" s="45" t="s">
        <v>339</v>
      </c>
      <c r="Q140" s="45" t="s">
        <v>340</v>
      </c>
      <c r="R140" s="119"/>
    </row>
    <row r="141" spans="2:18" ht="15.75" x14ac:dyDescent="0.25">
      <c r="B141" s="203" t="s">
        <v>157</v>
      </c>
      <c r="C141" s="204">
        <v>2</v>
      </c>
      <c r="D141" s="204">
        <v>0</v>
      </c>
      <c r="E141" s="204"/>
      <c r="F141" s="204">
        <v>633</v>
      </c>
      <c r="G141" s="203" t="s">
        <v>34</v>
      </c>
      <c r="H141" s="205" t="s">
        <v>309</v>
      </c>
      <c r="I141" s="218" t="s">
        <v>329</v>
      </c>
      <c r="J141" s="307">
        <v>960</v>
      </c>
      <c r="K141" s="307">
        <v>1000</v>
      </c>
      <c r="L141" s="213">
        <v>0</v>
      </c>
      <c r="M141" s="174">
        <v>0</v>
      </c>
      <c r="N141" s="174">
        <v>0</v>
      </c>
      <c r="O141" s="311">
        <v>0</v>
      </c>
      <c r="P141" s="220">
        <v>0</v>
      </c>
      <c r="Q141" s="220">
        <v>0</v>
      </c>
      <c r="R141" s="119"/>
    </row>
    <row r="142" spans="2:18" ht="15.75" x14ac:dyDescent="0.25">
      <c r="B142" s="143" t="s">
        <v>157</v>
      </c>
      <c r="C142" s="146">
        <v>2</v>
      </c>
      <c r="D142" s="146">
        <v>0</v>
      </c>
      <c r="E142" s="146"/>
      <c r="F142" s="146">
        <v>633</v>
      </c>
      <c r="G142" s="143" t="s">
        <v>35</v>
      </c>
      <c r="H142" s="146" t="s">
        <v>90</v>
      </c>
      <c r="I142" s="161">
        <v>0</v>
      </c>
      <c r="J142" s="161">
        <v>932.36</v>
      </c>
      <c r="K142" s="161">
        <v>2500</v>
      </c>
      <c r="L142" s="161">
        <v>0</v>
      </c>
      <c r="M142" s="183">
        <v>0</v>
      </c>
      <c r="N142" s="172">
        <v>0</v>
      </c>
      <c r="O142" s="184">
        <f t="shared" ref="O142:O147" si="20">N142+M142</f>
        <v>0</v>
      </c>
      <c r="P142" s="161">
        <v>0</v>
      </c>
      <c r="Q142" s="161">
        <v>0</v>
      </c>
      <c r="R142" s="119"/>
    </row>
    <row r="143" spans="2:18" ht="15.75" x14ac:dyDescent="0.25">
      <c r="B143" s="143" t="s">
        <v>157</v>
      </c>
      <c r="C143" s="146">
        <v>2</v>
      </c>
      <c r="D143" s="146">
        <v>0</v>
      </c>
      <c r="E143" s="146"/>
      <c r="F143" s="146">
        <v>633</v>
      </c>
      <c r="G143" s="143" t="s">
        <v>108</v>
      </c>
      <c r="H143" s="146" t="s">
        <v>159</v>
      </c>
      <c r="I143" s="161">
        <v>5231.4399999999996</v>
      </c>
      <c r="J143" s="161">
        <v>1551.11</v>
      </c>
      <c r="K143" s="161">
        <v>1000</v>
      </c>
      <c r="L143" s="161">
        <v>0</v>
      </c>
      <c r="M143" s="183">
        <v>0</v>
      </c>
      <c r="N143" s="172">
        <v>0</v>
      </c>
      <c r="O143" s="184">
        <f t="shared" si="20"/>
        <v>0</v>
      </c>
      <c r="P143" s="161">
        <v>0</v>
      </c>
      <c r="Q143" s="161">
        <v>0</v>
      </c>
      <c r="R143" s="119"/>
    </row>
    <row r="144" spans="2:18" ht="15.75" x14ac:dyDescent="0.25">
      <c r="B144" s="143" t="s">
        <v>157</v>
      </c>
      <c r="C144" s="146">
        <v>2</v>
      </c>
      <c r="D144" s="146">
        <v>0</v>
      </c>
      <c r="E144" s="146"/>
      <c r="F144" s="146">
        <v>637</v>
      </c>
      <c r="G144" s="143" t="s">
        <v>34</v>
      </c>
      <c r="H144" s="146" t="s">
        <v>160</v>
      </c>
      <c r="I144" s="161">
        <v>0</v>
      </c>
      <c r="J144" s="161">
        <v>2628.96</v>
      </c>
      <c r="K144" s="161">
        <v>1500</v>
      </c>
      <c r="L144" s="161">
        <v>0</v>
      </c>
      <c r="M144" s="183">
        <v>0</v>
      </c>
      <c r="N144" s="172">
        <v>0</v>
      </c>
      <c r="O144" s="184">
        <f t="shared" si="20"/>
        <v>0</v>
      </c>
      <c r="P144" s="161">
        <v>0</v>
      </c>
      <c r="Q144" s="161">
        <v>0</v>
      </c>
      <c r="R144" s="119"/>
    </row>
    <row r="145" spans="2:19" ht="15.75" x14ac:dyDescent="0.25">
      <c r="B145" s="143" t="s">
        <v>157</v>
      </c>
      <c r="C145" s="146">
        <v>2</v>
      </c>
      <c r="D145" s="146">
        <v>0</v>
      </c>
      <c r="E145" s="146"/>
      <c r="F145" s="146">
        <v>637</v>
      </c>
      <c r="G145" s="143" t="s">
        <v>107</v>
      </c>
      <c r="H145" s="146" t="s">
        <v>112</v>
      </c>
      <c r="I145" s="161">
        <v>0</v>
      </c>
      <c r="J145" s="161">
        <v>44234.7</v>
      </c>
      <c r="K145" s="161">
        <v>0</v>
      </c>
      <c r="L145" s="161">
        <v>0</v>
      </c>
      <c r="M145" s="183">
        <v>0</v>
      </c>
      <c r="N145" s="172">
        <v>0</v>
      </c>
      <c r="O145" s="184">
        <f t="shared" si="20"/>
        <v>0</v>
      </c>
      <c r="P145" s="161">
        <v>0</v>
      </c>
      <c r="Q145" s="161">
        <v>0</v>
      </c>
      <c r="R145" s="119"/>
    </row>
    <row r="146" spans="2:19" ht="15.75" x14ac:dyDescent="0.25">
      <c r="B146" s="143" t="s">
        <v>157</v>
      </c>
      <c r="C146" s="146">
        <v>2</v>
      </c>
      <c r="D146" s="146">
        <v>0</v>
      </c>
      <c r="E146" s="146"/>
      <c r="F146" s="146">
        <v>637</v>
      </c>
      <c r="G146" s="143" t="s">
        <v>108</v>
      </c>
      <c r="H146" s="146" t="s">
        <v>161</v>
      </c>
      <c r="I146" s="161">
        <v>0</v>
      </c>
      <c r="J146" s="161">
        <v>2560</v>
      </c>
      <c r="K146" s="161">
        <v>0</v>
      </c>
      <c r="L146" s="161">
        <v>0</v>
      </c>
      <c r="M146" s="183">
        <v>0</v>
      </c>
      <c r="N146" s="172">
        <v>0</v>
      </c>
      <c r="O146" s="184">
        <f t="shared" si="20"/>
        <v>0</v>
      </c>
      <c r="P146" s="161">
        <v>0</v>
      </c>
      <c r="Q146" s="161">
        <v>0</v>
      </c>
      <c r="R146" s="119"/>
    </row>
    <row r="147" spans="2:19" ht="16.5" thickBot="1" x14ac:dyDescent="0.3">
      <c r="B147" s="144" t="s">
        <v>157</v>
      </c>
      <c r="C147" s="147">
        <v>2</v>
      </c>
      <c r="D147" s="147">
        <v>0</v>
      </c>
      <c r="E147" s="147"/>
      <c r="F147" s="147">
        <v>637</v>
      </c>
      <c r="G147" s="144" t="s">
        <v>38</v>
      </c>
      <c r="H147" s="147" t="s">
        <v>162</v>
      </c>
      <c r="I147" s="162">
        <v>0</v>
      </c>
      <c r="J147" s="162">
        <v>0</v>
      </c>
      <c r="K147" s="162">
        <v>100</v>
      </c>
      <c r="L147" s="162">
        <v>0</v>
      </c>
      <c r="M147" s="192">
        <v>0</v>
      </c>
      <c r="N147" s="193">
        <v>0</v>
      </c>
      <c r="O147" s="194">
        <f t="shared" si="20"/>
        <v>0</v>
      </c>
      <c r="P147" s="162">
        <v>0</v>
      </c>
      <c r="Q147" s="162">
        <v>0</v>
      </c>
      <c r="R147" s="119"/>
    </row>
    <row r="148" spans="2:19" ht="18.75" customHeight="1" thickBot="1" x14ac:dyDescent="0.3">
      <c r="B148" s="459" t="s">
        <v>163</v>
      </c>
      <c r="C148" s="460"/>
      <c r="D148" s="460"/>
      <c r="E148" s="460"/>
      <c r="F148" s="460"/>
      <c r="G148" s="460"/>
      <c r="H148" s="460"/>
      <c r="I148" s="171">
        <f>SUM(I141:I147)</f>
        <v>5231.4399999999996</v>
      </c>
      <c r="J148" s="171">
        <f>SUM(J141:J147)</f>
        <v>52867.13</v>
      </c>
      <c r="K148" s="171">
        <f>SUM(K141:K147)</f>
        <v>6100</v>
      </c>
      <c r="L148" s="171">
        <f>SUM(L141:L147)</f>
        <v>0</v>
      </c>
      <c r="M148" s="78">
        <f t="shared" ref="M148:N148" si="21">SUM(M142:M147)</f>
        <v>0</v>
      </c>
      <c r="N148" s="78">
        <f t="shared" si="21"/>
        <v>0</v>
      </c>
      <c r="O148" s="78">
        <f>SUM(O141:O147)</f>
        <v>0</v>
      </c>
      <c r="P148" s="171">
        <f>SUM(P141:P147)</f>
        <v>0</v>
      </c>
      <c r="Q148" s="171">
        <f>SUM(Q141:Q147)</f>
        <v>0</v>
      </c>
      <c r="R148" s="119"/>
    </row>
    <row r="149" spans="2:19" ht="19.5" thickBot="1" x14ac:dyDescent="0.35">
      <c r="R149" s="119"/>
      <c r="S149" s="119"/>
    </row>
    <row r="150" spans="2:19" ht="20.25" thickBot="1" x14ac:dyDescent="0.3">
      <c r="B150" s="399" t="s">
        <v>167</v>
      </c>
      <c r="C150" s="400"/>
      <c r="D150" s="400"/>
      <c r="E150" s="400"/>
      <c r="F150" s="400"/>
      <c r="G150" s="400"/>
      <c r="H150" s="400"/>
      <c r="I150" s="400"/>
      <c r="J150" s="400"/>
      <c r="K150" s="400"/>
      <c r="L150" s="400"/>
      <c r="M150" s="400"/>
      <c r="N150" s="400"/>
      <c r="O150" s="400"/>
      <c r="P150" s="400"/>
      <c r="Q150" s="401"/>
      <c r="S150" s="119"/>
    </row>
    <row r="151" spans="2:19" ht="16.5" thickBot="1" x14ac:dyDescent="0.3">
      <c r="B151" s="402" t="s">
        <v>64</v>
      </c>
      <c r="C151" s="402" t="s">
        <v>65</v>
      </c>
      <c r="D151" s="402" t="s">
        <v>66</v>
      </c>
      <c r="E151" s="402" t="s">
        <v>67</v>
      </c>
      <c r="F151" s="402" t="s">
        <v>24</v>
      </c>
      <c r="G151" s="405" t="s">
        <v>25</v>
      </c>
      <c r="H151" s="402" t="s">
        <v>22</v>
      </c>
      <c r="I151" s="397" t="s">
        <v>68</v>
      </c>
      <c r="J151" s="397" t="s">
        <v>303</v>
      </c>
      <c r="K151" s="397" t="s">
        <v>365</v>
      </c>
      <c r="L151" s="397" t="s">
        <v>364</v>
      </c>
      <c r="M151" s="409" t="s">
        <v>18</v>
      </c>
      <c r="N151" s="410"/>
      <c r="O151" s="410"/>
      <c r="P151" s="411"/>
      <c r="Q151" s="397" t="s">
        <v>0</v>
      </c>
      <c r="R151" s="397" t="s">
        <v>294</v>
      </c>
      <c r="S151" s="119"/>
    </row>
    <row r="152" spans="2:19" ht="36.75" customHeight="1" thickBot="1" x14ac:dyDescent="0.3">
      <c r="B152" s="403"/>
      <c r="C152" s="403"/>
      <c r="D152" s="403"/>
      <c r="E152" s="403"/>
      <c r="F152" s="403"/>
      <c r="G152" s="406"/>
      <c r="H152" s="403"/>
      <c r="I152" s="398"/>
      <c r="J152" s="398"/>
      <c r="K152" s="398"/>
      <c r="L152" s="408"/>
      <c r="M152" s="80">
        <v>111</v>
      </c>
      <c r="N152" s="315" t="s">
        <v>341</v>
      </c>
      <c r="O152" s="315" t="s">
        <v>346</v>
      </c>
      <c r="P152" s="81" t="s">
        <v>106</v>
      </c>
      <c r="Q152" s="456"/>
      <c r="R152" s="398"/>
      <c r="S152" s="376"/>
    </row>
    <row r="153" spans="2:19" ht="16.5" thickBot="1" x14ac:dyDescent="0.3">
      <c r="B153" s="41" t="s">
        <v>70</v>
      </c>
      <c r="C153" s="41" t="s">
        <v>71</v>
      </c>
      <c r="D153" s="41" t="s">
        <v>72</v>
      </c>
      <c r="E153" s="41" t="s">
        <v>73</v>
      </c>
      <c r="F153" s="41" t="s">
        <v>74</v>
      </c>
      <c r="G153" s="43" t="s">
        <v>75</v>
      </c>
      <c r="H153" s="50" t="s">
        <v>76</v>
      </c>
      <c r="I153" s="57">
        <v>1</v>
      </c>
      <c r="J153" s="206">
        <v>2</v>
      </c>
      <c r="K153" s="206" t="s">
        <v>152</v>
      </c>
      <c r="L153" s="57" t="s">
        <v>366</v>
      </c>
      <c r="M153" s="316" t="s">
        <v>336</v>
      </c>
      <c r="N153" s="317" t="s">
        <v>337</v>
      </c>
      <c r="O153" s="318" t="s">
        <v>338</v>
      </c>
      <c r="P153" s="80" t="s">
        <v>339</v>
      </c>
      <c r="Q153" s="57" t="s">
        <v>340</v>
      </c>
      <c r="R153" s="57" t="s">
        <v>238</v>
      </c>
      <c r="S153" s="376"/>
    </row>
    <row r="154" spans="2:19" ht="15.75" x14ac:dyDescent="0.25">
      <c r="B154" s="142" t="s">
        <v>164</v>
      </c>
      <c r="C154" s="145">
        <v>4</v>
      </c>
      <c r="D154" s="145">
        <v>3</v>
      </c>
      <c r="E154" s="145"/>
      <c r="F154" s="145">
        <v>611</v>
      </c>
      <c r="G154" s="142"/>
      <c r="H154" s="145" t="s">
        <v>78</v>
      </c>
      <c r="I154" s="160">
        <v>16276.26</v>
      </c>
      <c r="J154" s="160">
        <f>2590.91+11824.67</f>
        <v>14415.58</v>
      </c>
      <c r="K154" s="262">
        <v>12792</v>
      </c>
      <c r="L154" s="339">
        <v>16279.76</v>
      </c>
      <c r="M154" s="174">
        <v>1885</v>
      </c>
      <c r="N154" s="350">
        <v>3248</v>
      </c>
      <c r="O154" s="350">
        <v>15296</v>
      </c>
      <c r="P154" s="174">
        <f t="shared" ref="P154:P169" si="22">M154+N154+O154</f>
        <v>20429</v>
      </c>
      <c r="Q154" s="212">
        <v>20429</v>
      </c>
      <c r="R154" s="160">
        <v>20429</v>
      </c>
      <c r="S154" s="377"/>
    </row>
    <row r="155" spans="2:19" ht="15.75" x14ac:dyDescent="0.25">
      <c r="B155" s="143" t="s">
        <v>164</v>
      </c>
      <c r="C155" s="146">
        <v>4</v>
      </c>
      <c r="D155" s="146">
        <v>3</v>
      </c>
      <c r="E155" s="146"/>
      <c r="F155" s="146">
        <v>614</v>
      </c>
      <c r="G155" s="143"/>
      <c r="H155" s="146" t="s">
        <v>141</v>
      </c>
      <c r="I155" s="161">
        <v>0</v>
      </c>
      <c r="J155" s="161">
        <v>0</v>
      </c>
      <c r="K155" s="264">
        <v>0</v>
      </c>
      <c r="L155" s="341">
        <v>0</v>
      </c>
      <c r="M155" s="172">
        <v>0</v>
      </c>
      <c r="N155" s="351">
        <v>0</v>
      </c>
      <c r="O155" s="351">
        <v>0</v>
      </c>
      <c r="P155" s="174">
        <f t="shared" si="22"/>
        <v>0</v>
      </c>
      <c r="Q155" s="155">
        <v>0</v>
      </c>
      <c r="R155" s="161">
        <v>0</v>
      </c>
      <c r="S155" s="377"/>
    </row>
    <row r="156" spans="2:19" ht="15.75" x14ac:dyDescent="0.25">
      <c r="B156" s="143" t="s">
        <v>164</v>
      </c>
      <c r="C156" s="146">
        <v>4</v>
      </c>
      <c r="D156" s="146">
        <v>3</v>
      </c>
      <c r="E156" s="146"/>
      <c r="F156" s="146">
        <v>621</v>
      </c>
      <c r="G156" s="143"/>
      <c r="H156" s="146" t="s">
        <v>369</v>
      </c>
      <c r="I156" s="161">
        <v>0</v>
      </c>
      <c r="J156" s="161">
        <v>896.94</v>
      </c>
      <c r="K156" s="264">
        <f>4471</f>
        <v>4471</v>
      </c>
      <c r="L156" s="341">
        <v>1577.12</v>
      </c>
      <c r="M156" s="172">
        <v>0</v>
      </c>
      <c r="N156" s="351">
        <v>513.29999999999995</v>
      </c>
      <c r="O156" s="351">
        <v>1529.6</v>
      </c>
      <c r="P156" s="174">
        <f t="shared" si="22"/>
        <v>2042.8999999999999</v>
      </c>
      <c r="Q156" s="155">
        <v>2045</v>
      </c>
      <c r="R156" s="161">
        <v>2045</v>
      </c>
      <c r="S156" s="377"/>
    </row>
    <row r="157" spans="2:19" ht="15.75" x14ac:dyDescent="0.25">
      <c r="B157" s="143" t="s">
        <v>164</v>
      </c>
      <c r="C157" s="146">
        <v>4</v>
      </c>
      <c r="D157" s="146">
        <v>3</v>
      </c>
      <c r="E157" s="146"/>
      <c r="F157" s="146">
        <v>623</v>
      </c>
      <c r="G157" s="143"/>
      <c r="H157" s="146" t="s">
        <v>370</v>
      </c>
      <c r="I157" s="161">
        <v>1635.6</v>
      </c>
      <c r="J157" s="161">
        <v>885.17</v>
      </c>
      <c r="K157" s="264">
        <v>0</v>
      </c>
      <c r="L157" s="341">
        <v>0</v>
      </c>
      <c r="M157" s="172">
        <v>0</v>
      </c>
      <c r="N157" s="351">
        <v>0</v>
      </c>
      <c r="O157" s="351">
        <v>0</v>
      </c>
      <c r="P157" s="174">
        <f t="shared" si="22"/>
        <v>0</v>
      </c>
      <c r="Q157" s="155">
        <v>0</v>
      </c>
      <c r="R157" s="161">
        <v>0</v>
      </c>
      <c r="S157" s="377"/>
    </row>
    <row r="158" spans="2:19" ht="15.75" x14ac:dyDescent="0.25">
      <c r="B158" s="143" t="s">
        <v>164</v>
      </c>
      <c r="C158" s="146">
        <v>4</v>
      </c>
      <c r="D158" s="146">
        <v>3</v>
      </c>
      <c r="E158" s="146"/>
      <c r="F158" s="146">
        <v>625</v>
      </c>
      <c r="G158" s="143" t="s">
        <v>30</v>
      </c>
      <c r="H158" s="146" t="s">
        <v>321</v>
      </c>
      <c r="I158" s="161">
        <v>225.12</v>
      </c>
      <c r="J158" s="161">
        <v>247.79</v>
      </c>
      <c r="K158" s="264">
        <v>0</v>
      </c>
      <c r="L158" s="341">
        <v>220.67</v>
      </c>
      <c r="M158" s="172">
        <v>0</v>
      </c>
      <c r="N158" s="351">
        <v>71.861999999999995</v>
      </c>
      <c r="O158" s="351">
        <v>214.14400000000001</v>
      </c>
      <c r="P158" s="174">
        <f t="shared" si="22"/>
        <v>286.00599999999997</v>
      </c>
      <c r="Q158" s="155">
        <v>290</v>
      </c>
      <c r="R158" s="161">
        <v>290</v>
      </c>
      <c r="S158" s="377"/>
    </row>
    <row r="159" spans="2:19" ht="15.75" x14ac:dyDescent="0.25">
      <c r="B159" s="143" t="s">
        <v>164</v>
      </c>
      <c r="C159" s="146">
        <v>4</v>
      </c>
      <c r="D159" s="146">
        <v>3</v>
      </c>
      <c r="E159" s="146"/>
      <c r="F159" s="146">
        <v>625</v>
      </c>
      <c r="G159" s="143" t="s">
        <v>31</v>
      </c>
      <c r="H159" s="146" t="s">
        <v>322</v>
      </c>
      <c r="I159" s="161">
        <v>2251.69</v>
      </c>
      <c r="J159" s="161">
        <v>2478.38</v>
      </c>
      <c r="K159" s="264">
        <v>0</v>
      </c>
      <c r="L159" s="341">
        <v>2444.31</v>
      </c>
      <c r="M159" s="172">
        <v>0</v>
      </c>
      <c r="N159" s="351">
        <v>718.62</v>
      </c>
      <c r="O159" s="351">
        <v>2141.44</v>
      </c>
      <c r="P159" s="174">
        <f t="shared" si="22"/>
        <v>2860.06</v>
      </c>
      <c r="Q159" s="155">
        <v>2860</v>
      </c>
      <c r="R159" s="161">
        <v>2860</v>
      </c>
      <c r="S159" s="377"/>
    </row>
    <row r="160" spans="2:19" ht="15.75" x14ac:dyDescent="0.25">
      <c r="B160" s="143" t="s">
        <v>164</v>
      </c>
      <c r="C160" s="146">
        <v>4</v>
      </c>
      <c r="D160" s="146">
        <v>3</v>
      </c>
      <c r="E160" s="146"/>
      <c r="F160" s="146">
        <v>625</v>
      </c>
      <c r="G160" s="143" t="s">
        <v>29</v>
      </c>
      <c r="H160" s="146" t="s">
        <v>348</v>
      </c>
      <c r="I160" s="161">
        <v>128.62</v>
      </c>
      <c r="J160" s="161">
        <v>141.58000000000001</v>
      </c>
      <c r="K160" s="264">
        <v>0</v>
      </c>
      <c r="L160" s="341">
        <v>120.45</v>
      </c>
      <c r="M160" s="172">
        <v>0</v>
      </c>
      <c r="N160" s="351">
        <v>41.064</v>
      </c>
      <c r="O160" s="351">
        <v>122.36799999999999</v>
      </c>
      <c r="P160" s="174">
        <f t="shared" si="22"/>
        <v>163.43199999999999</v>
      </c>
      <c r="Q160" s="155">
        <v>165</v>
      </c>
      <c r="R160" s="161">
        <v>165</v>
      </c>
      <c r="S160" s="377"/>
    </row>
    <row r="161" spans="2:19" ht="15.75" x14ac:dyDescent="0.25">
      <c r="B161" s="143" t="s">
        <v>164</v>
      </c>
      <c r="C161" s="146">
        <v>4</v>
      </c>
      <c r="D161" s="146">
        <v>3</v>
      </c>
      <c r="E161" s="146"/>
      <c r="F161" s="146">
        <v>625</v>
      </c>
      <c r="G161" s="143" t="s">
        <v>34</v>
      </c>
      <c r="H161" s="146" t="s">
        <v>324</v>
      </c>
      <c r="I161" s="161">
        <v>482.47</v>
      </c>
      <c r="J161" s="161">
        <v>328.18</v>
      </c>
      <c r="K161" s="264">
        <v>0</v>
      </c>
      <c r="L161" s="341">
        <v>523.11</v>
      </c>
      <c r="M161" s="172">
        <v>0</v>
      </c>
      <c r="N161" s="351">
        <v>513.99</v>
      </c>
      <c r="O161" s="351">
        <v>458.08</v>
      </c>
      <c r="P161" s="174">
        <f t="shared" si="22"/>
        <v>972.06999999999994</v>
      </c>
      <c r="Q161" s="155">
        <v>980</v>
      </c>
      <c r="R161" s="161">
        <v>980</v>
      </c>
      <c r="S161" s="377"/>
    </row>
    <row r="162" spans="2:19" ht="15.75" x14ac:dyDescent="0.25">
      <c r="B162" s="143" t="s">
        <v>164</v>
      </c>
      <c r="C162" s="146">
        <v>4</v>
      </c>
      <c r="D162" s="146">
        <v>3</v>
      </c>
      <c r="E162" s="146"/>
      <c r="F162" s="146">
        <v>625</v>
      </c>
      <c r="G162" s="143" t="s">
        <v>107</v>
      </c>
      <c r="H162" s="146" t="s">
        <v>325</v>
      </c>
      <c r="I162" s="161">
        <v>160.79</v>
      </c>
      <c r="J162" s="161">
        <v>109.37</v>
      </c>
      <c r="K162" s="264">
        <v>0</v>
      </c>
      <c r="L162" s="341">
        <v>174.55</v>
      </c>
      <c r="M162" s="172">
        <v>0</v>
      </c>
      <c r="N162" s="351">
        <v>51.33</v>
      </c>
      <c r="O162" s="351">
        <v>152.96</v>
      </c>
      <c r="P162" s="174">
        <f t="shared" si="22"/>
        <v>204.29000000000002</v>
      </c>
      <c r="Q162" s="155">
        <v>205</v>
      </c>
      <c r="R162" s="161">
        <v>205</v>
      </c>
      <c r="S162" s="377"/>
    </row>
    <row r="163" spans="2:19" ht="15.75" x14ac:dyDescent="0.25">
      <c r="B163" s="143" t="s">
        <v>164</v>
      </c>
      <c r="C163" s="146">
        <v>4</v>
      </c>
      <c r="D163" s="146">
        <v>3</v>
      </c>
      <c r="E163" s="146"/>
      <c r="F163" s="146">
        <v>625</v>
      </c>
      <c r="G163" s="143" t="s">
        <v>108</v>
      </c>
      <c r="H163" s="146" t="s">
        <v>350</v>
      </c>
      <c r="I163" s="161">
        <v>763.92</v>
      </c>
      <c r="J163" s="161">
        <v>840.85</v>
      </c>
      <c r="K163" s="264">
        <v>0</v>
      </c>
      <c r="L163" s="341">
        <v>829.74</v>
      </c>
      <c r="M163" s="172">
        <v>0</v>
      </c>
      <c r="N163" s="351">
        <v>243.8175</v>
      </c>
      <c r="O163" s="351">
        <v>726.53</v>
      </c>
      <c r="P163" s="174">
        <f t="shared" si="22"/>
        <v>970.34749999999997</v>
      </c>
      <c r="Q163" s="155">
        <v>970</v>
      </c>
      <c r="R163" s="161">
        <v>970</v>
      </c>
      <c r="S163" s="377"/>
    </row>
    <row r="164" spans="2:19" ht="31.5" x14ac:dyDescent="0.25">
      <c r="B164" s="143" t="s">
        <v>164</v>
      </c>
      <c r="C164" s="146">
        <v>4</v>
      </c>
      <c r="D164" s="146">
        <v>3</v>
      </c>
      <c r="E164" s="146"/>
      <c r="F164" s="146">
        <v>627</v>
      </c>
      <c r="G164" s="143"/>
      <c r="H164" s="178" t="s">
        <v>351</v>
      </c>
      <c r="I164" s="161">
        <v>320.02999999999997</v>
      </c>
      <c r="J164" s="161">
        <v>118.03</v>
      </c>
      <c r="K164" s="264">
        <v>0</v>
      </c>
      <c r="L164" s="341">
        <v>0</v>
      </c>
      <c r="M164" s="172">
        <v>0</v>
      </c>
      <c r="N164" s="351">
        <v>102.66</v>
      </c>
      <c r="O164" s="351">
        <v>305.92</v>
      </c>
      <c r="P164" s="174">
        <f t="shared" si="22"/>
        <v>408.58000000000004</v>
      </c>
      <c r="Q164" s="155">
        <v>410</v>
      </c>
      <c r="R164" s="161">
        <v>410</v>
      </c>
      <c r="S164" s="377"/>
    </row>
    <row r="165" spans="2:19" ht="15.75" x14ac:dyDescent="0.25">
      <c r="B165" s="143" t="s">
        <v>164</v>
      </c>
      <c r="C165" s="146">
        <v>4</v>
      </c>
      <c r="D165" s="146">
        <v>3</v>
      </c>
      <c r="E165" s="146"/>
      <c r="F165" s="146">
        <v>631</v>
      </c>
      <c r="G165" s="143" t="s">
        <v>30</v>
      </c>
      <c r="H165" s="146" t="s">
        <v>311</v>
      </c>
      <c r="I165" s="161">
        <v>179.64</v>
      </c>
      <c r="J165" s="161">
        <v>48</v>
      </c>
      <c r="K165" s="264">
        <v>0</v>
      </c>
      <c r="L165" s="341">
        <v>0</v>
      </c>
      <c r="M165" s="172">
        <v>0</v>
      </c>
      <c r="N165" s="351">
        <v>0</v>
      </c>
      <c r="O165" s="351">
        <v>0</v>
      </c>
      <c r="P165" s="174">
        <f t="shared" si="22"/>
        <v>0</v>
      </c>
      <c r="Q165" s="155">
        <v>0</v>
      </c>
      <c r="R165" s="161">
        <v>0</v>
      </c>
      <c r="S165" s="377"/>
    </row>
    <row r="166" spans="2:19" ht="15.75" x14ac:dyDescent="0.25">
      <c r="B166" s="143" t="s">
        <v>164</v>
      </c>
      <c r="C166" s="146">
        <v>4</v>
      </c>
      <c r="D166" s="146">
        <v>3</v>
      </c>
      <c r="E166" s="146"/>
      <c r="F166" s="146">
        <v>632</v>
      </c>
      <c r="G166" s="143" t="s">
        <v>29</v>
      </c>
      <c r="H166" s="146" t="s">
        <v>85</v>
      </c>
      <c r="I166" s="161">
        <v>673</v>
      </c>
      <c r="J166" s="161">
        <v>597.85</v>
      </c>
      <c r="K166" s="264">
        <v>700</v>
      </c>
      <c r="L166" s="341">
        <v>323.64999999999998</v>
      </c>
      <c r="M166" s="172">
        <v>400</v>
      </c>
      <c r="N166" s="351">
        <v>0</v>
      </c>
      <c r="O166" s="351">
        <v>0</v>
      </c>
      <c r="P166" s="174">
        <f t="shared" si="22"/>
        <v>400</v>
      </c>
      <c r="Q166" s="155">
        <v>400</v>
      </c>
      <c r="R166" s="161">
        <v>400</v>
      </c>
      <c r="S166" s="377"/>
    </row>
    <row r="167" spans="2:19" ht="15.75" x14ac:dyDescent="0.25">
      <c r="B167" s="143" t="s">
        <v>164</v>
      </c>
      <c r="C167" s="146">
        <v>4</v>
      </c>
      <c r="D167" s="146">
        <v>3</v>
      </c>
      <c r="E167" s="146"/>
      <c r="F167" s="146">
        <v>632</v>
      </c>
      <c r="G167" s="143" t="s">
        <v>107</v>
      </c>
      <c r="H167" s="146" t="s">
        <v>165</v>
      </c>
      <c r="I167" s="161">
        <v>224.9</v>
      </c>
      <c r="J167" s="161">
        <v>238.32</v>
      </c>
      <c r="K167" s="264">
        <v>241</v>
      </c>
      <c r="L167" s="341">
        <v>240</v>
      </c>
      <c r="M167" s="172">
        <v>245</v>
      </c>
      <c r="N167" s="351">
        <v>0</v>
      </c>
      <c r="O167" s="351">
        <v>0</v>
      </c>
      <c r="P167" s="174">
        <f t="shared" si="22"/>
        <v>245</v>
      </c>
      <c r="Q167" s="155">
        <v>245</v>
      </c>
      <c r="R167" s="161">
        <v>245</v>
      </c>
      <c r="S167" s="377"/>
    </row>
    <row r="168" spans="2:19" ht="15.75" x14ac:dyDescent="0.25">
      <c r="B168" s="143" t="s">
        <v>164</v>
      </c>
      <c r="C168" s="146">
        <v>4</v>
      </c>
      <c r="D168" s="146">
        <v>3</v>
      </c>
      <c r="E168" s="146"/>
      <c r="F168" s="146">
        <v>633</v>
      </c>
      <c r="G168" s="143" t="s">
        <v>35</v>
      </c>
      <c r="H168" s="146" t="s">
        <v>90</v>
      </c>
      <c r="I168" s="161">
        <v>0</v>
      </c>
      <c r="J168" s="161">
        <v>0</v>
      </c>
      <c r="K168" s="264">
        <v>100</v>
      </c>
      <c r="L168" s="341">
        <v>0</v>
      </c>
      <c r="M168" s="172">
        <v>100</v>
      </c>
      <c r="N168" s="351">
        <v>0</v>
      </c>
      <c r="O168" s="351">
        <v>0</v>
      </c>
      <c r="P168" s="174">
        <f t="shared" si="22"/>
        <v>100</v>
      </c>
      <c r="Q168" s="155">
        <v>100</v>
      </c>
      <c r="R168" s="161">
        <v>100</v>
      </c>
      <c r="S168" s="377"/>
    </row>
    <row r="169" spans="2:19" ht="15.75" x14ac:dyDescent="0.25">
      <c r="B169" s="143" t="s">
        <v>164</v>
      </c>
      <c r="C169" s="146">
        <v>4</v>
      </c>
      <c r="D169" s="146">
        <v>3</v>
      </c>
      <c r="E169" s="146"/>
      <c r="F169" s="146">
        <v>637</v>
      </c>
      <c r="G169" s="143" t="s">
        <v>127</v>
      </c>
      <c r="H169" s="146" t="s">
        <v>115</v>
      </c>
      <c r="I169" s="161">
        <v>578.29</v>
      </c>
      <c r="J169" s="161">
        <v>671.65</v>
      </c>
      <c r="K169" s="264">
        <v>700</v>
      </c>
      <c r="L169" s="341">
        <v>768.73</v>
      </c>
      <c r="M169" s="172">
        <v>0</v>
      </c>
      <c r="N169" s="351">
        <v>770</v>
      </c>
      <c r="O169" s="351">
        <v>0</v>
      </c>
      <c r="P169" s="174">
        <f t="shared" si="22"/>
        <v>770</v>
      </c>
      <c r="Q169" s="155">
        <v>770</v>
      </c>
      <c r="R169" s="161">
        <v>770</v>
      </c>
      <c r="S169" s="377"/>
    </row>
    <row r="170" spans="2:19" ht="15.75" x14ac:dyDescent="0.25">
      <c r="B170" s="143" t="s">
        <v>164</v>
      </c>
      <c r="C170" s="146">
        <v>4</v>
      </c>
      <c r="D170" s="146">
        <v>3</v>
      </c>
      <c r="E170" s="146"/>
      <c r="F170" s="146">
        <v>637</v>
      </c>
      <c r="G170" s="143" t="s">
        <v>126</v>
      </c>
      <c r="H170" s="146" t="s">
        <v>382</v>
      </c>
      <c r="I170" s="161">
        <v>148.41999999999999</v>
      </c>
      <c r="J170" s="161">
        <v>140.72</v>
      </c>
      <c r="K170" s="264">
        <v>150</v>
      </c>
      <c r="L170" s="341">
        <v>117.18</v>
      </c>
      <c r="M170" s="172">
        <v>0</v>
      </c>
      <c r="N170" s="351">
        <v>51.33</v>
      </c>
      <c r="O170" s="351">
        <v>152.96</v>
      </c>
      <c r="P170" s="174">
        <f>M170+N170+O170</f>
        <v>204.29000000000002</v>
      </c>
      <c r="Q170" s="155">
        <v>205</v>
      </c>
      <c r="R170" s="161">
        <v>205</v>
      </c>
      <c r="S170" s="377"/>
    </row>
    <row r="171" spans="2:19" ht="16.5" thickBot="1" x14ac:dyDescent="0.3">
      <c r="B171" s="144" t="s">
        <v>164</v>
      </c>
      <c r="C171" s="147">
        <v>4</v>
      </c>
      <c r="D171" s="147">
        <v>3</v>
      </c>
      <c r="E171" s="147"/>
      <c r="F171" s="147">
        <v>642</v>
      </c>
      <c r="G171" s="144" t="s">
        <v>33</v>
      </c>
      <c r="H171" s="293" t="s">
        <v>352</v>
      </c>
      <c r="I171" s="162">
        <v>0</v>
      </c>
      <c r="J171" s="162">
        <v>3703.27</v>
      </c>
      <c r="K171" s="272">
        <v>0</v>
      </c>
      <c r="L171" s="272">
        <v>0</v>
      </c>
      <c r="M171" s="173">
        <v>0</v>
      </c>
      <c r="N171" s="351">
        <v>0</v>
      </c>
      <c r="O171" s="351">
        <v>0</v>
      </c>
      <c r="P171" s="174">
        <f>M171+N171+O171</f>
        <v>0</v>
      </c>
      <c r="Q171" s="215">
        <v>0</v>
      </c>
      <c r="R171" s="162">
        <v>0</v>
      </c>
      <c r="S171" s="377"/>
    </row>
    <row r="172" spans="2:19" ht="15.75" customHeight="1" thickBot="1" x14ac:dyDescent="0.3">
      <c r="B172" s="459" t="s">
        <v>166</v>
      </c>
      <c r="C172" s="460"/>
      <c r="D172" s="460"/>
      <c r="E172" s="460"/>
      <c r="F172" s="460"/>
      <c r="G172" s="460"/>
      <c r="H172" s="460"/>
      <c r="I172" s="171">
        <f>SUM(I154:I171)</f>
        <v>24048.749999999996</v>
      </c>
      <c r="J172" s="171">
        <f>SUM(J154:J171)</f>
        <v>25861.68</v>
      </c>
      <c r="K172" s="171">
        <f t="shared" ref="K172:L172" si="23">SUM(K153:K171)</f>
        <v>19154</v>
      </c>
      <c r="L172" s="171">
        <f t="shared" si="23"/>
        <v>23619.270000000004</v>
      </c>
      <c r="M172" s="325">
        <f t="shared" ref="M172:O172" si="24">SUM(M154:M171)</f>
        <v>2630</v>
      </c>
      <c r="N172" s="325">
        <f t="shared" si="24"/>
        <v>6325.9735000000001</v>
      </c>
      <c r="O172" s="325">
        <f t="shared" si="24"/>
        <v>21100.001999999993</v>
      </c>
      <c r="P172" s="325">
        <f>SUM(P154:P171)</f>
        <v>30055.975500000008</v>
      </c>
      <c r="Q172" s="171">
        <f>SUM(R154:R171)</f>
        <v>30074</v>
      </c>
      <c r="R172" s="171">
        <f>SUM(R154:R171)</f>
        <v>30074</v>
      </c>
      <c r="S172" s="119"/>
    </row>
    <row r="173" spans="2:19" ht="16.5" thickBot="1" x14ac:dyDescent="0.3">
      <c r="F173" s="51"/>
      <c r="S173" s="119"/>
    </row>
    <row r="174" spans="2:19" ht="20.25" thickBot="1" x14ac:dyDescent="0.3">
      <c r="B174" s="399" t="s">
        <v>168</v>
      </c>
      <c r="C174" s="400"/>
      <c r="D174" s="400"/>
      <c r="E174" s="400"/>
      <c r="F174" s="400"/>
      <c r="G174" s="400"/>
      <c r="H174" s="400"/>
      <c r="I174" s="400"/>
      <c r="J174" s="400"/>
      <c r="K174" s="400"/>
      <c r="L174" s="400"/>
      <c r="M174" s="400"/>
      <c r="N174" s="400"/>
      <c r="O174" s="400"/>
      <c r="P174" s="400"/>
      <c r="Q174" s="401"/>
      <c r="R174" s="119"/>
    </row>
    <row r="175" spans="2:19" ht="16.5" thickBot="1" x14ac:dyDescent="0.3">
      <c r="B175" s="402" t="s">
        <v>64</v>
      </c>
      <c r="C175" s="402" t="s">
        <v>65</v>
      </c>
      <c r="D175" s="402" t="s">
        <v>66</v>
      </c>
      <c r="E175" s="402" t="s">
        <v>67</v>
      </c>
      <c r="F175" s="402" t="s">
        <v>24</v>
      </c>
      <c r="G175" s="405" t="s">
        <v>25</v>
      </c>
      <c r="H175" s="402" t="s">
        <v>22</v>
      </c>
      <c r="I175" s="397" t="s">
        <v>68</v>
      </c>
      <c r="J175" s="397" t="s">
        <v>303</v>
      </c>
      <c r="K175" s="397" t="s">
        <v>365</v>
      </c>
      <c r="L175" s="397" t="s">
        <v>364</v>
      </c>
      <c r="M175" s="409" t="s">
        <v>18</v>
      </c>
      <c r="N175" s="410"/>
      <c r="O175" s="411"/>
      <c r="P175" s="397" t="s">
        <v>0</v>
      </c>
      <c r="Q175" s="397" t="s">
        <v>294</v>
      </c>
      <c r="R175" s="119"/>
    </row>
    <row r="176" spans="2:19" ht="42" customHeight="1" thickBot="1" x14ac:dyDescent="0.3">
      <c r="B176" s="403"/>
      <c r="C176" s="403"/>
      <c r="D176" s="403"/>
      <c r="E176" s="403"/>
      <c r="F176" s="403"/>
      <c r="G176" s="406"/>
      <c r="H176" s="403"/>
      <c r="I176" s="407"/>
      <c r="J176" s="407"/>
      <c r="K176" s="398"/>
      <c r="L176" s="408"/>
      <c r="M176" s="72">
        <v>111</v>
      </c>
      <c r="N176" s="72">
        <v>41</v>
      </c>
      <c r="O176" s="73" t="s">
        <v>106</v>
      </c>
      <c r="P176" s="420"/>
      <c r="Q176" s="407"/>
      <c r="R176" s="119"/>
    </row>
    <row r="177" spans="2:18" ht="16.5" thickBot="1" x14ac:dyDescent="0.3">
      <c r="B177" s="41" t="s">
        <v>70</v>
      </c>
      <c r="C177" s="41" t="s">
        <v>71</v>
      </c>
      <c r="D177" s="41" t="s">
        <v>72</v>
      </c>
      <c r="E177" s="41" t="s">
        <v>73</v>
      </c>
      <c r="F177" s="41" t="s">
        <v>74</v>
      </c>
      <c r="G177" s="43" t="s">
        <v>75</v>
      </c>
      <c r="H177" s="309" t="s">
        <v>76</v>
      </c>
      <c r="I177" s="43">
        <v>1</v>
      </c>
      <c r="J177" s="53">
        <v>2</v>
      </c>
      <c r="K177" s="53" t="s">
        <v>152</v>
      </c>
      <c r="L177" s="43" t="s">
        <v>366</v>
      </c>
      <c r="M177" s="169" t="s">
        <v>336</v>
      </c>
      <c r="N177" s="170" t="s">
        <v>337</v>
      </c>
      <c r="O177" s="170" t="s">
        <v>338</v>
      </c>
      <c r="P177" s="43" t="s">
        <v>339</v>
      </c>
      <c r="Q177" s="53" t="s">
        <v>340</v>
      </c>
      <c r="R177" s="119"/>
    </row>
    <row r="178" spans="2:18" ht="15.75" x14ac:dyDescent="0.25">
      <c r="B178" s="142" t="s">
        <v>164</v>
      </c>
      <c r="C178" s="145">
        <v>5</v>
      </c>
      <c r="D178" s="145">
        <v>1</v>
      </c>
      <c r="E178" s="145"/>
      <c r="F178" s="145">
        <v>633</v>
      </c>
      <c r="G178" s="142" t="s">
        <v>35</v>
      </c>
      <c r="H178" s="145" t="s">
        <v>90</v>
      </c>
      <c r="I178" s="160">
        <v>196.5</v>
      </c>
      <c r="J178" s="160">
        <v>0</v>
      </c>
      <c r="K178" s="160">
        <v>1000</v>
      </c>
      <c r="L178" s="160">
        <v>0</v>
      </c>
      <c r="M178" s="189">
        <v>0</v>
      </c>
      <c r="N178" s="190">
        <v>500</v>
      </c>
      <c r="O178" s="191">
        <f>N178+M178</f>
        <v>500</v>
      </c>
      <c r="P178" s="160">
        <v>500</v>
      </c>
      <c r="Q178" s="160">
        <v>0</v>
      </c>
      <c r="R178" s="119"/>
    </row>
    <row r="179" spans="2:18" ht="15.75" x14ac:dyDescent="0.25">
      <c r="B179" s="143" t="s">
        <v>164</v>
      </c>
      <c r="C179" s="146">
        <v>5</v>
      </c>
      <c r="D179" s="146">
        <v>1</v>
      </c>
      <c r="E179" s="146"/>
      <c r="F179" s="146">
        <v>635</v>
      </c>
      <c r="G179" s="143" t="s">
        <v>35</v>
      </c>
      <c r="H179" s="178" t="s">
        <v>170</v>
      </c>
      <c r="I179" s="161">
        <v>0</v>
      </c>
      <c r="J179" s="161">
        <v>0</v>
      </c>
      <c r="K179" s="161">
        <v>5000</v>
      </c>
      <c r="L179" s="161">
        <v>0</v>
      </c>
      <c r="M179" s="183">
        <v>0</v>
      </c>
      <c r="N179" s="172">
        <v>500</v>
      </c>
      <c r="O179" s="184">
        <f>N179+M179</f>
        <v>500</v>
      </c>
      <c r="P179" s="161">
        <v>500</v>
      </c>
      <c r="Q179" s="161">
        <v>0</v>
      </c>
      <c r="R179" s="119"/>
    </row>
    <row r="180" spans="2:18" ht="16.5" thickBot="1" x14ac:dyDescent="0.3">
      <c r="B180" s="144" t="s">
        <v>164</v>
      </c>
      <c r="C180" s="147">
        <v>5</v>
      </c>
      <c r="D180" s="147">
        <v>1</v>
      </c>
      <c r="E180" s="147"/>
      <c r="F180" s="147">
        <v>637</v>
      </c>
      <c r="G180" s="144" t="s">
        <v>34</v>
      </c>
      <c r="H180" s="147" t="s">
        <v>111</v>
      </c>
      <c r="I180" s="162">
        <v>0</v>
      </c>
      <c r="J180" s="162">
        <v>1500</v>
      </c>
      <c r="K180" s="162">
        <v>1500</v>
      </c>
      <c r="L180" s="162">
        <v>0</v>
      </c>
      <c r="M180" s="192">
        <v>0</v>
      </c>
      <c r="N180" s="193">
        <v>500</v>
      </c>
      <c r="O180" s="194">
        <f>N180+M180</f>
        <v>500</v>
      </c>
      <c r="P180" s="162">
        <v>500</v>
      </c>
      <c r="Q180" s="162">
        <v>0</v>
      </c>
      <c r="R180" s="119"/>
    </row>
    <row r="181" spans="2:18" ht="18.75" customHeight="1" thickBot="1" x14ac:dyDescent="0.35">
      <c r="B181" s="444" t="s">
        <v>169</v>
      </c>
      <c r="C181" s="445"/>
      <c r="D181" s="445"/>
      <c r="E181" s="445"/>
      <c r="F181" s="445"/>
      <c r="G181" s="445"/>
      <c r="H181" s="457"/>
      <c r="I181" s="171">
        <f>SUM(I178:I180)</f>
        <v>196.5</v>
      </c>
      <c r="J181" s="171">
        <f t="shared" ref="J181:L181" si="25">SUM(J178:J180)</f>
        <v>1500</v>
      </c>
      <c r="K181" s="171">
        <f t="shared" si="25"/>
        <v>7500</v>
      </c>
      <c r="L181" s="171">
        <f t="shared" si="25"/>
        <v>0</v>
      </c>
      <c r="M181" s="78">
        <f t="shared" ref="M181:Q181" si="26">SUM(M178:M180)</f>
        <v>0</v>
      </c>
      <c r="N181" s="78">
        <f t="shared" si="26"/>
        <v>1500</v>
      </c>
      <c r="O181" s="78">
        <f>SUM(O178:O180)</f>
        <v>1500</v>
      </c>
      <c r="P181" s="171">
        <f t="shared" si="26"/>
        <v>1500</v>
      </c>
      <c r="Q181" s="171">
        <f t="shared" si="26"/>
        <v>0</v>
      </c>
      <c r="R181" s="119"/>
    </row>
    <row r="182" spans="2:18" ht="19.5" thickBot="1" x14ac:dyDescent="0.35">
      <c r="R182" s="119"/>
    </row>
    <row r="183" spans="2:18" ht="20.25" thickBot="1" x14ac:dyDescent="0.3">
      <c r="B183" s="399" t="s">
        <v>171</v>
      </c>
      <c r="C183" s="400"/>
      <c r="D183" s="400"/>
      <c r="E183" s="400"/>
      <c r="F183" s="400"/>
      <c r="G183" s="400"/>
      <c r="H183" s="400"/>
      <c r="I183" s="400"/>
      <c r="J183" s="400"/>
      <c r="K183" s="400"/>
      <c r="L183" s="400"/>
      <c r="M183" s="400"/>
      <c r="N183" s="400"/>
      <c r="O183" s="400"/>
      <c r="P183" s="400"/>
      <c r="Q183" s="401"/>
      <c r="R183" s="119"/>
    </row>
    <row r="184" spans="2:18" ht="16.5" thickBot="1" x14ac:dyDescent="0.3">
      <c r="B184" s="402" t="s">
        <v>64</v>
      </c>
      <c r="C184" s="402" t="s">
        <v>65</v>
      </c>
      <c r="D184" s="402" t="s">
        <v>66</v>
      </c>
      <c r="E184" s="402" t="s">
        <v>67</v>
      </c>
      <c r="F184" s="402" t="s">
        <v>24</v>
      </c>
      <c r="G184" s="405" t="s">
        <v>25</v>
      </c>
      <c r="H184" s="402" t="s">
        <v>22</v>
      </c>
      <c r="I184" s="397" t="s">
        <v>68</v>
      </c>
      <c r="J184" s="397" t="s">
        <v>303</v>
      </c>
      <c r="K184" s="397" t="s">
        <v>365</v>
      </c>
      <c r="L184" s="397" t="s">
        <v>364</v>
      </c>
      <c r="M184" s="409" t="s">
        <v>18</v>
      </c>
      <c r="N184" s="410"/>
      <c r="O184" s="411"/>
      <c r="P184" s="397" t="s">
        <v>0</v>
      </c>
      <c r="Q184" s="397" t="s">
        <v>294</v>
      </c>
      <c r="R184" s="119"/>
    </row>
    <row r="185" spans="2:18" ht="31.5" customHeight="1" thickBot="1" x14ac:dyDescent="0.3">
      <c r="B185" s="403"/>
      <c r="C185" s="403"/>
      <c r="D185" s="404"/>
      <c r="E185" s="403"/>
      <c r="F185" s="403"/>
      <c r="G185" s="406"/>
      <c r="H185" s="404"/>
      <c r="I185" s="407"/>
      <c r="J185" s="407"/>
      <c r="K185" s="398"/>
      <c r="L185" s="408"/>
      <c r="M185" s="72">
        <v>111</v>
      </c>
      <c r="N185" s="72">
        <v>41</v>
      </c>
      <c r="O185" s="73" t="s">
        <v>106</v>
      </c>
      <c r="P185" s="420"/>
      <c r="Q185" s="407"/>
      <c r="R185" s="119"/>
    </row>
    <row r="186" spans="2:18" ht="16.5" thickBot="1" x14ac:dyDescent="0.3">
      <c r="B186" s="55" t="s">
        <v>70</v>
      </c>
      <c r="C186" s="55" t="s">
        <v>71</v>
      </c>
      <c r="D186" s="55" t="s">
        <v>72</v>
      </c>
      <c r="E186" s="56" t="s">
        <v>73</v>
      </c>
      <c r="F186" s="55" t="s">
        <v>74</v>
      </c>
      <c r="G186" s="66" t="s">
        <v>75</v>
      </c>
      <c r="H186" s="26" t="s">
        <v>76</v>
      </c>
      <c r="I186" s="206">
        <v>1</v>
      </c>
      <c r="J186" s="65">
        <v>2</v>
      </c>
      <c r="K186" s="54" t="s">
        <v>152</v>
      </c>
      <c r="L186" s="57" t="s">
        <v>366</v>
      </c>
      <c r="M186" s="74" t="s">
        <v>336</v>
      </c>
      <c r="N186" s="75" t="s">
        <v>337</v>
      </c>
      <c r="O186" s="75" t="s">
        <v>338</v>
      </c>
      <c r="P186" s="57" t="s">
        <v>339</v>
      </c>
      <c r="Q186" s="206" t="s">
        <v>340</v>
      </c>
      <c r="R186" s="119"/>
    </row>
    <row r="187" spans="2:18" ht="15.75" x14ac:dyDescent="0.25">
      <c r="B187" s="142" t="s">
        <v>172</v>
      </c>
      <c r="C187" s="145">
        <v>1</v>
      </c>
      <c r="D187" s="145">
        <v>0</v>
      </c>
      <c r="E187" s="145"/>
      <c r="F187" s="145">
        <v>632</v>
      </c>
      <c r="G187" s="142" t="s">
        <v>30</v>
      </c>
      <c r="H187" s="226" t="s">
        <v>173</v>
      </c>
      <c r="I187" s="160">
        <v>491.9</v>
      </c>
      <c r="J187" s="160">
        <v>491.48</v>
      </c>
      <c r="K187" s="160">
        <v>600</v>
      </c>
      <c r="L187" s="160">
        <v>482.95</v>
      </c>
      <c r="M187" s="189">
        <v>0</v>
      </c>
      <c r="N187" s="190">
        <v>550</v>
      </c>
      <c r="O187" s="184">
        <f t="shared" ref="O187:O191" si="27">N187+M187</f>
        <v>550</v>
      </c>
      <c r="P187" s="160">
        <v>550</v>
      </c>
      <c r="Q187" s="160">
        <v>550</v>
      </c>
      <c r="R187" s="119"/>
    </row>
    <row r="188" spans="2:18" ht="15.75" x14ac:dyDescent="0.25">
      <c r="B188" s="143" t="s">
        <v>172</v>
      </c>
      <c r="C188" s="146">
        <v>1</v>
      </c>
      <c r="D188" s="146">
        <v>0</v>
      </c>
      <c r="E188" s="146"/>
      <c r="F188" s="146">
        <v>632</v>
      </c>
      <c r="G188" s="143" t="s">
        <v>31</v>
      </c>
      <c r="H188" s="146" t="s">
        <v>174</v>
      </c>
      <c r="I188" s="161">
        <v>256.66000000000003</v>
      </c>
      <c r="J188" s="161">
        <v>208.69</v>
      </c>
      <c r="K188" s="161">
        <v>1000</v>
      </c>
      <c r="L188" s="161">
        <v>247.99</v>
      </c>
      <c r="M188" s="183">
        <v>0</v>
      </c>
      <c r="N188" s="172">
        <v>500</v>
      </c>
      <c r="O188" s="184">
        <f t="shared" si="27"/>
        <v>500</v>
      </c>
      <c r="P188" s="161">
        <v>500</v>
      </c>
      <c r="Q188" s="161">
        <v>500</v>
      </c>
      <c r="R188" s="119"/>
    </row>
    <row r="189" spans="2:18" ht="15.75" x14ac:dyDescent="0.25">
      <c r="B189" s="143" t="s">
        <v>172</v>
      </c>
      <c r="C189" s="146">
        <v>1</v>
      </c>
      <c r="D189" s="146">
        <v>0</v>
      </c>
      <c r="E189" s="146"/>
      <c r="F189" s="146">
        <v>633</v>
      </c>
      <c r="G189" s="143" t="s">
        <v>35</v>
      </c>
      <c r="H189" s="146" t="s">
        <v>90</v>
      </c>
      <c r="I189" s="161">
        <v>12876</v>
      </c>
      <c r="J189" s="161">
        <v>1386.08</v>
      </c>
      <c r="K189" s="161">
        <v>8000</v>
      </c>
      <c r="L189" s="161">
        <v>456</v>
      </c>
      <c r="M189" s="183">
        <v>0</v>
      </c>
      <c r="N189" s="172">
        <v>300</v>
      </c>
      <c r="O189" s="184">
        <f t="shared" si="27"/>
        <v>300</v>
      </c>
      <c r="P189" s="161">
        <v>300</v>
      </c>
      <c r="Q189" s="161">
        <v>300</v>
      </c>
      <c r="R189" s="119"/>
    </row>
    <row r="190" spans="2:18" ht="15.75" x14ac:dyDescent="0.25">
      <c r="B190" s="143" t="s">
        <v>172</v>
      </c>
      <c r="C190" s="146">
        <v>1</v>
      </c>
      <c r="D190" s="146">
        <v>0</v>
      </c>
      <c r="E190" s="146"/>
      <c r="F190" s="146">
        <v>633</v>
      </c>
      <c r="G190" s="143" t="s">
        <v>134</v>
      </c>
      <c r="H190" s="146" t="s">
        <v>175</v>
      </c>
      <c r="I190" s="161">
        <v>248.31</v>
      </c>
      <c r="J190" s="161">
        <v>308.82</v>
      </c>
      <c r="K190" s="161">
        <v>400</v>
      </c>
      <c r="L190" s="161">
        <v>434.01</v>
      </c>
      <c r="M190" s="183">
        <v>0</v>
      </c>
      <c r="N190" s="172">
        <v>500</v>
      </c>
      <c r="O190" s="184">
        <f t="shared" si="27"/>
        <v>500</v>
      </c>
      <c r="P190" s="161">
        <v>500</v>
      </c>
      <c r="Q190" s="161">
        <v>500</v>
      </c>
      <c r="R190" s="119"/>
    </row>
    <row r="191" spans="2:18" ht="15.75" x14ac:dyDescent="0.25">
      <c r="B191" s="143" t="s">
        <v>172</v>
      </c>
      <c r="C191" s="146">
        <v>1</v>
      </c>
      <c r="D191" s="146">
        <v>0</v>
      </c>
      <c r="E191" s="146"/>
      <c r="F191" s="146">
        <v>634</v>
      </c>
      <c r="G191" s="143" t="s">
        <v>30</v>
      </c>
      <c r="H191" s="146" t="s">
        <v>176</v>
      </c>
      <c r="I191" s="161">
        <v>0</v>
      </c>
      <c r="J191" s="161">
        <v>0</v>
      </c>
      <c r="K191" s="161">
        <v>0</v>
      </c>
      <c r="L191" s="161">
        <v>0</v>
      </c>
      <c r="M191" s="183">
        <v>0</v>
      </c>
      <c r="N191" s="172">
        <v>0</v>
      </c>
      <c r="O191" s="184">
        <f t="shared" si="27"/>
        <v>0</v>
      </c>
      <c r="P191" s="161">
        <v>0</v>
      </c>
      <c r="Q191" s="161">
        <v>0</v>
      </c>
      <c r="R191" s="119"/>
    </row>
    <row r="192" spans="2:18" ht="32.25" thickBot="1" x14ac:dyDescent="0.3">
      <c r="B192" s="143" t="s">
        <v>172</v>
      </c>
      <c r="C192" s="146">
        <v>1</v>
      </c>
      <c r="D192" s="146">
        <v>0</v>
      </c>
      <c r="E192" s="146"/>
      <c r="F192" s="146">
        <v>635</v>
      </c>
      <c r="G192" s="207" t="s">
        <v>34</v>
      </c>
      <c r="H192" s="178" t="s">
        <v>102</v>
      </c>
      <c r="I192" s="161">
        <v>0</v>
      </c>
      <c r="J192" s="161">
        <v>0</v>
      </c>
      <c r="K192" s="161">
        <v>500</v>
      </c>
      <c r="L192" s="161">
        <v>0</v>
      </c>
      <c r="M192" s="183">
        <v>0</v>
      </c>
      <c r="N192" s="172">
        <v>200</v>
      </c>
      <c r="O192" s="184">
        <f>N192+M192</f>
        <v>200</v>
      </c>
      <c r="P192" s="161">
        <v>200</v>
      </c>
      <c r="Q192" s="161">
        <v>200</v>
      </c>
      <c r="R192" s="119"/>
    </row>
    <row r="193" spans="2:18" ht="16.5" thickBot="1" x14ac:dyDescent="0.3">
      <c r="B193" s="144" t="s">
        <v>172</v>
      </c>
      <c r="C193" s="147">
        <v>1</v>
      </c>
      <c r="D193" s="147">
        <v>0</v>
      </c>
      <c r="E193" s="147"/>
      <c r="F193" s="147">
        <v>637</v>
      </c>
      <c r="G193" s="70" t="s">
        <v>34</v>
      </c>
      <c r="H193" s="147" t="s">
        <v>111</v>
      </c>
      <c r="I193" s="162">
        <v>47788.5</v>
      </c>
      <c r="J193" s="162">
        <v>54630.239999999998</v>
      </c>
      <c r="K193" s="162">
        <v>59000</v>
      </c>
      <c r="L193" s="162">
        <v>51300</v>
      </c>
      <c r="M193" s="192">
        <v>0</v>
      </c>
      <c r="N193" s="276">
        <v>61400</v>
      </c>
      <c r="O193" s="194">
        <f>N193+M193</f>
        <v>61400</v>
      </c>
      <c r="P193" s="162">
        <v>61400</v>
      </c>
      <c r="Q193" s="162">
        <v>61500</v>
      </c>
      <c r="R193" s="119"/>
    </row>
    <row r="194" spans="2:18" ht="18.75" customHeight="1" thickBot="1" x14ac:dyDescent="0.35">
      <c r="B194" s="444" t="s">
        <v>177</v>
      </c>
      <c r="C194" s="445"/>
      <c r="D194" s="445"/>
      <c r="E194" s="445"/>
      <c r="F194" s="445"/>
      <c r="G194" s="445"/>
      <c r="H194" s="445"/>
      <c r="I194" s="171">
        <f>SUM(I187:I193)</f>
        <v>61661.369999999995</v>
      </c>
      <c r="J194" s="171">
        <f>SUM(J187:J193)</f>
        <v>57025.31</v>
      </c>
      <c r="K194" s="171">
        <f t="shared" ref="K194:Q194" si="28">SUM(K187:K193)</f>
        <v>69500</v>
      </c>
      <c r="L194" s="171">
        <f t="shared" si="28"/>
        <v>52920.95</v>
      </c>
      <c r="M194" s="78">
        <f t="shared" si="28"/>
        <v>0</v>
      </c>
      <c r="N194" s="77">
        <f t="shared" si="28"/>
        <v>63450</v>
      </c>
      <c r="O194" s="78">
        <f>SUM(O187:O193)</f>
        <v>63450</v>
      </c>
      <c r="P194" s="171">
        <f t="shared" si="28"/>
        <v>63450</v>
      </c>
      <c r="Q194" s="171">
        <f t="shared" si="28"/>
        <v>63550</v>
      </c>
      <c r="R194" s="119"/>
    </row>
    <row r="195" spans="2:18" ht="19.5" thickBot="1" x14ac:dyDescent="0.35">
      <c r="R195" s="119"/>
    </row>
    <row r="196" spans="2:18" ht="20.25" thickBot="1" x14ac:dyDescent="0.3">
      <c r="B196" s="399" t="s">
        <v>178</v>
      </c>
      <c r="C196" s="400"/>
      <c r="D196" s="400"/>
      <c r="E196" s="400"/>
      <c r="F196" s="400"/>
      <c r="G196" s="400"/>
      <c r="H196" s="400"/>
      <c r="I196" s="400"/>
      <c r="J196" s="400"/>
      <c r="K196" s="400"/>
      <c r="L196" s="400"/>
      <c r="M196" s="400"/>
      <c r="N196" s="400"/>
      <c r="O196" s="400"/>
      <c r="P196" s="400"/>
      <c r="Q196" s="401"/>
      <c r="R196" s="119"/>
    </row>
    <row r="197" spans="2:18" ht="16.5" thickBot="1" x14ac:dyDescent="0.3">
      <c r="B197" s="402" t="s">
        <v>64</v>
      </c>
      <c r="C197" s="402" t="s">
        <v>65</v>
      </c>
      <c r="D197" s="402" t="s">
        <v>66</v>
      </c>
      <c r="E197" s="402" t="s">
        <v>67</v>
      </c>
      <c r="F197" s="402" t="s">
        <v>24</v>
      </c>
      <c r="G197" s="405" t="s">
        <v>25</v>
      </c>
      <c r="H197" s="402" t="s">
        <v>22</v>
      </c>
      <c r="I197" s="397" t="s">
        <v>68</v>
      </c>
      <c r="J197" s="397" t="s">
        <v>303</v>
      </c>
      <c r="K197" s="397" t="s">
        <v>365</v>
      </c>
      <c r="L197" s="397" t="s">
        <v>364</v>
      </c>
      <c r="M197" s="409" t="s">
        <v>18</v>
      </c>
      <c r="N197" s="410"/>
      <c r="O197" s="411"/>
      <c r="P197" s="397" t="s">
        <v>0</v>
      </c>
      <c r="Q197" s="397" t="s">
        <v>294</v>
      </c>
      <c r="R197" s="119"/>
    </row>
    <row r="198" spans="2:18" ht="39.75" customHeight="1" thickBot="1" x14ac:dyDescent="0.3">
      <c r="B198" s="403"/>
      <c r="C198" s="403"/>
      <c r="D198" s="404"/>
      <c r="E198" s="403"/>
      <c r="F198" s="403"/>
      <c r="G198" s="406"/>
      <c r="H198" s="403"/>
      <c r="I198" s="407"/>
      <c r="J198" s="407"/>
      <c r="K198" s="398"/>
      <c r="L198" s="408"/>
      <c r="M198" s="72">
        <v>111</v>
      </c>
      <c r="N198" s="72">
        <v>41</v>
      </c>
      <c r="O198" s="73" t="s">
        <v>106</v>
      </c>
      <c r="P198" s="420"/>
      <c r="Q198" s="407"/>
      <c r="R198" s="119"/>
    </row>
    <row r="199" spans="2:18" ht="16.5" thickBot="1" x14ac:dyDescent="0.3">
      <c r="B199" s="55" t="s">
        <v>70</v>
      </c>
      <c r="C199" s="55" t="s">
        <v>71</v>
      </c>
      <c r="D199" s="55" t="s">
        <v>72</v>
      </c>
      <c r="E199" s="56" t="s">
        <v>73</v>
      </c>
      <c r="F199" s="55" t="s">
        <v>74</v>
      </c>
      <c r="G199" s="57" t="s">
        <v>75</v>
      </c>
      <c r="H199" s="47" t="s">
        <v>76</v>
      </c>
      <c r="I199" s="206">
        <v>1</v>
      </c>
      <c r="J199" s="65">
        <v>2</v>
      </c>
      <c r="K199" s="54" t="s">
        <v>152</v>
      </c>
      <c r="L199" s="57" t="s">
        <v>366</v>
      </c>
      <c r="M199" s="74" t="s">
        <v>336</v>
      </c>
      <c r="N199" s="75" t="s">
        <v>337</v>
      </c>
      <c r="O199" s="75" t="s">
        <v>338</v>
      </c>
      <c r="P199" s="57" t="s">
        <v>339</v>
      </c>
      <c r="Q199" s="206" t="s">
        <v>340</v>
      </c>
      <c r="R199" s="119"/>
    </row>
    <row r="200" spans="2:18" ht="15.75" x14ac:dyDescent="0.25">
      <c r="B200" s="142" t="s">
        <v>179</v>
      </c>
      <c r="C200" s="145">
        <v>1</v>
      </c>
      <c r="D200" s="145">
        <v>0</v>
      </c>
      <c r="E200" s="145"/>
      <c r="F200" s="145">
        <v>632</v>
      </c>
      <c r="G200" s="142" t="s">
        <v>30</v>
      </c>
      <c r="H200" s="145" t="s">
        <v>83</v>
      </c>
      <c r="I200" s="160">
        <v>1297.3499999999999</v>
      </c>
      <c r="J200" s="160">
        <v>1274.93</v>
      </c>
      <c r="K200" s="160">
        <v>1700</v>
      </c>
      <c r="L200" s="160">
        <v>922.3</v>
      </c>
      <c r="M200" s="189">
        <v>0</v>
      </c>
      <c r="N200" s="190">
        <v>1000</v>
      </c>
      <c r="O200" s="184">
        <f t="shared" ref="O200:O204" si="29">N200+M200</f>
        <v>1000</v>
      </c>
      <c r="P200" s="160">
        <v>1000</v>
      </c>
      <c r="Q200" s="160">
        <v>1000</v>
      </c>
      <c r="R200" s="119"/>
    </row>
    <row r="201" spans="2:18" ht="15.75" x14ac:dyDescent="0.25">
      <c r="B201" s="143" t="s">
        <v>179</v>
      </c>
      <c r="C201" s="146">
        <v>1</v>
      </c>
      <c r="D201" s="146">
        <v>0</v>
      </c>
      <c r="E201" s="146"/>
      <c r="F201" s="146">
        <v>632</v>
      </c>
      <c r="G201" s="143" t="s">
        <v>31</v>
      </c>
      <c r="H201" s="146" t="s">
        <v>181</v>
      </c>
      <c r="I201" s="161">
        <v>8232.3700000000008</v>
      </c>
      <c r="J201" s="161">
        <v>8706.2000000000007</v>
      </c>
      <c r="K201" s="161">
        <v>7000</v>
      </c>
      <c r="L201" s="161">
        <v>8771.82</v>
      </c>
      <c r="M201" s="183">
        <v>0</v>
      </c>
      <c r="N201" s="172">
        <v>7100</v>
      </c>
      <c r="O201" s="184">
        <f t="shared" si="29"/>
        <v>7100</v>
      </c>
      <c r="P201" s="161">
        <v>7300</v>
      </c>
      <c r="Q201" s="161">
        <v>7300</v>
      </c>
      <c r="R201" s="119"/>
    </row>
    <row r="202" spans="2:18" ht="15.75" x14ac:dyDescent="0.25">
      <c r="B202" s="143" t="s">
        <v>179</v>
      </c>
      <c r="C202" s="146">
        <v>1</v>
      </c>
      <c r="D202" s="146">
        <v>0</v>
      </c>
      <c r="E202" s="146"/>
      <c r="F202" s="146">
        <v>633</v>
      </c>
      <c r="G202" s="143" t="s">
        <v>35</v>
      </c>
      <c r="H202" s="146" t="s">
        <v>90</v>
      </c>
      <c r="I202" s="161">
        <v>375.88</v>
      </c>
      <c r="J202" s="161">
        <v>763.44</v>
      </c>
      <c r="K202" s="161">
        <v>700</v>
      </c>
      <c r="L202" s="161">
        <v>943.33</v>
      </c>
      <c r="M202" s="183">
        <v>0</v>
      </c>
      <c r="N202" s="172">
        <v>900</v>
      </c>
      <c r="O202" s="184">
        <f t="shared" si="29"/>
        <v>900</v>
      </c>
      <c r="P202" s="161">
        <v>900</v>
      </c>
      <c r="Q202" s="161">
        <v>1000</v>
      </c>
      <c r="R202" s="119"/>
    </row>
    <row r="203" spans="2:18" ht="31.5" x14ac:dyDescent="0.25">
      <c r="B203" s="143" t="s">
        <v>179</v>
      </c>
      <c r="C203" s="146">
        <v>1</v>
      </c>
      <c r="D203" s="146">
        <v>0</v>
      </c>
      <c r="E203" s="146"/>
      <c r="F203" s="146">
        <v>635</v>
      </c>
      <c r="G203" s="143" t="s">
        <v>34</v>
      </c>
      <c r="H203" s="208" t="s">
        <v>182</v>
      </c>
      <c r="I203" s="161">
        <v>1359.28</v>
      </c>
      <c r="J203" s="161">
        <v>2218.63</v>
      </c>
      <c r="K203" s="161">
        <v>2000</v>
      </c>
      <c r="L203" s="161">
        <v>3847.47</v>
      </c>
      <c r="M203" s="183">
        <v>0</v>
      </c>
      <c r="N203" s="172">
        <v>4000</v>
      </c>
      <c r="O203" s="184">
        <f t="shared" si="29"/>
        <v>4000</v>
      </c>
      <c r="P203" s="161">
        <v>4000</v>
      </c>
      <c r="Q203" s="161">
        <v>4000</v>
      </c>
      <c r="R203" s="119"/>
    </row>
    <row r="204" spans="2:18" ht="15.75" x14ac:dyDescent="0.25">
      <c r="B204" s="143" t="s">
        <v>179</v>
      </c>
      <c r="C204" s="146">
        <v>1</v>
      </c>
      <c r="D204" s="146">
        <v>0</v>
      </c>
      <c r="E204" s="146"/>
      <c r="F204" s="146">
        <v>635</v>
      </c>
      <c r="G204" s="143" t="s">
        <v>35</v>
      </c>
      <c r="H204" s="146" t="s">
        <v>183</v>
      </c>
      <c r="I204" s="161">
        <v>0</v>
      </c>
      <c r="J204" s="161">
        <v>235</v>
      </c>
      <c r="K204" s="161">
        <v>1000</v>
      </c>
      <c r="L204" s="161">
        <v>0</v>
      </c>
      <c r="M204" s="183">
        <v>0</v>
      </c>
      <c r="N204" s="172">
        <v>0</v>
      </c>
      <c r="O204" s="184">
        <f t="shared" si="29"/>
        <v>0</v>
      </c>
      <c r="P204" s="161">
        <v>0</v>
      </c>
      <c r="Q204" s="161">
        <v>0</v>
      </c>
      <c r="R204" s="119"/>
    </row>
    <row r="205" spans="2:18" ht="16.5" thickBot="1" x14ac:dyDescent="0.3">
      <c r="B205" s="144" t="s">
        <v>179</v>
      </c>
      <c r="C205" s="147">
        <v>1</v>
      </c>
      <c r="D205" s="147">
        <v>0</v>
      </c>
      <c r="E205" s="147"/>
      <c r="F205" s="147">
        <v>637</v>
      </c>
      <c r="G205" s="144" t="s">
        <v>34</v>
      </c>
      <c r="H205" s="147" t="s">
        <v>111</v>
      </c>
      <c r="I205" s="162">
        <v>0</v>
      </c>
      <c r="J205" s="162">
        <v>0</v>
      </c>
      <c r="K205" s="162">
        <v>500</v>
      </c>
      <c r="L205" s="162">
        <v>105</v>
      </c>
      <c r="M205" s="192">
        <v>0</v>
      </c>
      <c r="N205" s="193">
        <v>200</v>
      </c>
      <c r="O205" s="194">
        <f>N205+M205</f>
        <v>200</v>
      </c>
      <c r="P205" s="162">
        <v>200</v>
      </c>
      <c r="Q205" s="162">
        <v>250</v>
      </c>
      <c r="R205" s="119"/>
    </row>
    <row r="206" spans="2:18" ht="18.75" customHeight="1" thickBot="1" x14ac:dyDescent="0.35">
      <c r="B206" s="415" t="s">
        <v>180</v>
      </c>
      <c r="C206" s="416"/>
      <c r="D206" s="416"/>
      <c r="E206" s="416"/>
      <c r="F206" s="416"/>
      <c r="G206" s="416"/>
      <c r="H206" s="458"/>
      <c r="I206" s="171">
        <f>SUM(I200:I205)</f>
        <v>11264.880000000001</v>
      </c>
      <c r="J206" s="171">
        <f>SUM(J200:J205)</f>
        <v>13198.2</v>
      </c>
      <c r="K206" s="171">
        <f>SUM(K200:K205)</f>
        <v>12900</v>
      </c>
      <c r="L206" s="171">
        <f t="shared" ref="L206:Q206" si="30">SUM(L200:L205)</f>
        <v>14589.919999999998</v>
      </c>
      <c r="M206" s="78">
        <f t="shared" si="30"/>
        <v>0</v>
      </c>
      <c r="N206" s="78">
        <f t="shared" si="30"/>
        <v>13200</v>
      </c>
      <c r="O206" s="78">
        <f>SUM(O200:O205)</f>
        <v>13200</v>
      </c>
      <c r="P206" s="171">
        <f t="shared" si="30"/>
        <v>13400</v>
      </c>
      <c r="Q206" s="171">
        <f t="shared" si="30"/>
        <v>13550</v>
      </c>
      <c r="R206" s="119"/>
    </row>
    <row r="207" spans="2:18" ht="19.5" thickBot="1" x14ac:dyDescent="0.35">
      <c r="R207" s="119"/>
    </row>
    <row r="208" spans="2:18" ht="20.25" thickBot="1" x14ac:dyDescent="0.3">
      <c r="B208" s="399" t="s">
        <v>184</v>
      </c>
      <c r="C208" s="400"/>
      <c r="D208" s="400"/>
      <c r="E208" s="400"/>
      <c r="F208" s="400"/>
      <c r="G208" s="400"/>
      <c r="H208" s="400"/>
      <c r="I208" s="400"/>
      <c r="J208" s="400"/>
      <c r="K208" s="400"/>
      <c r="L208" s="400"/>
      <c r="M208" s="400"/>
      <c r="N208" s="400"/>
      <c r="O208" s="400"/>
      <c r="P208" s="400"/>
      <c r="Q208" s="401"/>
      <c r="R208" s="119"/>
    </row>
    <row r="209" spans="2:18" ht="16.5" thickBot="1" x14ac:dyDescent="0.3">
      <c r="B209" s="402" t="s">
        <v>64</v>
      </c>
      <c r="C209" s="402" t="s">
        <v>65</v>
      </c>
      <c r="D209" s="402" t="s">
        <v>66</v>
      </c>
      <c r="E209" s="402" t="s">
        <v>67</v>
      </c>
      <c r="F209" s="402" t="s">
        <v>24</v>
      </c>
      <c r="G209" s="405" t="s">
        <v>25</v>
      </c>
      <c r="H209" s="402" t="s">
        <v>22</v>
      </c>
      <c r="I209" s="397" t="s">
        <v>68</v>
      </c>
      <c r="J209" s="397" t="s">
        <v>303</v>
      </c>
      <c r="K209" s="397" t="s">
        <v>365</v>
      </c>
      <c r="L209" s="397" t="s">
        <v>364</v>
      </c>
      <c r="M209" s="409" t="s">
        <v>18</v>
      </c>
      <c r="N209" s="410"/>
      <c r="O209" s="411"/>
      <c r="P209" s="397" t="s">
        <v>0</v>
      </c>
      <c r="Q209" s="397" t="s">
        <v>294</v>
      </c>
      <c r="R209" s="119"/>
    </row>
    <row r="210" spans="2:18" ht="43.5" customHeight="1" thickBot="1" x14ac:dyDescent="0.3">
      <c r="B210" s="403"/>
      <c r="C210" s="403"/>
      <c r="D210" s="404"/>
      <c r="E210" s="404"/>
      <c r="F210" s="403"/>
      <c r="G210" s="406"/>
      <c r="H210" s="403"/>
      <c r="I210" s="407"/>
      <c r="J210" s="407"/>
      <c r="K210" s="398"/>
      <c r="L210" s="408"/>
      <c r="M210" s="72">
        <v>111</v>
      </c>
      <c r="N210" s="72">
        <v>41</v>
      </c>
      <c r="O210" s="73" t="s">
        <v>106</v>
      </c>
      <c r="P210" s="420"/>
      <c r="Q210" s="407"/>
      <c r="R210" s="119"/>
    </row>
    <row r="211" spans="2:18" ht="16.5" thickBot="1" x14ac:dyDescent="0.3">
      <c r="B211" s="55" t="s">
        <v>70</v>
      </c>
      <c r="C211" s="55" t="s">
        <v>71</v>
      </c>
      <c r="D211" s="67" t="s">
        <v>72</v>
      </c>
      <c r="E211" s="55" t="s">
        <v>73</v>
      </c>
      <c r="F211" s="56" t="s">
        <v>74</v>
      </c>
      <c r="G211" s="57" t="s">
        <v>75</v>
      </c>
      <c r="H211" s="47" t="s">
        <v>76</v>
      </c>
      <c r="I211" s="206">
        <v>1</v>
      </c>
      <c r="J211" s="65">
        <v>2</v>
      </c>
      <c r="K211" s="54" t="s">
        <v>152</v>
      </c>
      <c r="L211" s="57" t="s">
        <v>366</v>
      </c>
      <c r="M211" s="74" t="s">
        <v>336</v>
      </c>
      <c r="N211" s="75" t="s">
        <v>337</v>
      </c>
      <c r="O211" s="75" t="s">
        <v>338</v>
      </c>
      <c r="P211" s="57" t="s">
        <v>339</v>
      </c>
      <c r="Q211" s="206" t="s">
        <v>340</v>
      </c>
      <c r="R211" s="119"/>
    </row>
    <row r="212" spans="2:18" ht="15.75" x14ac:dyDescent="0.25">
      <c r="B212" s="142" t="s">
        <v>179</v>
      </c>
      <c r="C212" s="145">
        <v>2</v>
      </c>
      <c r="D212" s="145">
        <v>0</v>
      </c>
      <c r="E212" s="145"/>
      <c r="F212" s="145">
        <v>611</v>
      </c>
      <c r="G212" s="142"/>
      <c r="H212" s="145" t="s">
        <v>140</v>
      </c>
      <c r="I212" s="160">
        <v>66957.399999999994</v>
      </c>
      <c r="J212" s="160">
        <v>59689.34</v>
      </c>
      <c r="K212" s="160">
        <v>64778</v>
      </c>
      <c r="L212" s="163">
        <v>67119.289999999994</v>
      </c>
      <c r="M212" s="189">
        <v>0</v>
      </c>
      <c r="N212" s="190">
        <v>67878</v>
      </c>
      <c r="O212" s="184">
        <f t="shared" ref="O212:O236" si="31">N212+M212</f>
        <v>67878</v>
      </c>
      <c r="P212" s="160">
        <v>67878</v>
      </c>
      <c r="Q212" s="160">
        <v>67878</v>
      </c>
      <c r="R212" s="119"/>
    </row>
    <row r="213" spans="2:18" ht="15.75" x14ac:dyDescent="0.25">
      <c r="B213" s="143" t="s">
        <v>179</v>
      </c>
      <c r="C213" s="146">
        <v>2</v>
      </c>
      <c r="D213" s="146">
        <v>0</v>
      </c>
      <c r="E213" s="146"/>
      <c r="F213" s="146">
        <v>614</v>
      </c>
      <c r="G213" s="143"/>
      <c r="H213" s="146" t="s">
        <v>141</v>
      </c>
      <c r="I213" s="161">
        <v>0</v>
      </c>
      <c r="J213" s="161">
        <v>0</v>
      </c>
      <c r="K213" s="161">
        <v>0</v>
      </c>
      <c r="L213" s="164">
        <v>0</v>
      </c>
      <c r="M213" s="183">
        <v>0</v>
      </c>
      <c r="N213" s="172">
        <v>0</v>
      </c>
      <c r="O213" s="184">
        <f t="shared" si="31"/>
        <v>0</v>
      </c>
      <c r="P213" s="161">
        <v>0</v>
      </c>
      <c r="Q213" s="161">
        <v>0</v>
      </c>
      <c r="R213" s="119"/>
    </row>
    <row r="214" spans="2:18" ht="15.75" x14ac:dyDescent="0.25">
      <c r="B214" s="143" t="s">
        <v>179</v>
      </c>
      <c r="C214" s="146">
        <v>2</v>
      </c>
      <c r="D214" s="146">
        <v>0</v>
      </c>
      <c r="E214" s="146"/>
      <c r="F214" s="146">
        <v>621</v>
      </c>
      <c r="G214" s="143"/>
      <c r="H214" s="146" t="s">
        <v>372</v>
      </c>
      <c r="I214" s="161">
        <v>2125.79</v>
      </c>
      <c r="J214" s="161">
        <v>1681.37</v>
      </c>
      <c r="K214" s="161">
        <v>22642</v>
      </c>
      <c r="L214" s="164">
        <v>2459.08</v>
      </c>
      <c r="M214" s="183">
        <v>0</v>
      </c>
      <c r="N214" s="172">
        <v>3393.9</v>
      </c>
      <c r="O214" s="184">
        <f t="shared" si="31"/>
        <v>3393.9</v>
      </c>
      <c r="P214" s="161">
        <v>3395</v>
      </c>
      <c r="Q214" s="161">
        <v>3395</v>
      </c>
      <c r="R214" s="119"/>
    </row>
    <row r="215" spans="2:18" ht="15.75" x14ac:dyDescent="0.25">
      <c r="B215" s="143" t="s">
        <v>179</v>
      </c>
      <c r="C215" s="146">
        <v>2</v>
      </c>
      <c r="D215" s="146">
        <v>0</v>
      </c>
      <c r="E215" s="146"/>
      <c r="F215" s="146">
        <v>623</v>
      </c>
      <c r="G215" s="143"/>
      <c r="H215" s="146" t="s">
        <v>371</v>
      </c>
      <c r="I215" s="161">
        <v>4303.47</v>
      </c>
      <c r="J215" s="161">
        <v>4118.8500000000004</v>
      </c>
      <c r="K215" s="161">
        <v>0</v>
      </c>
      <c r="L215" s="164">
        <v>4196.4799999999996</v>
      </c>
      <c r="M215" s="183">
        <v>0</v>
      </c>
      <c r="N215" s="172">
        <v>3393.9</v>
      </c>
      <c r="O215" s="184">
        <f t="shared" si="31"/>
        <v>3393.9</v>
      </c>
      <c r="P215" s="161">
        <v>3395</v>
      </c>
      <c r="Q215" s="161">
        <v>3395</v>
      </c>
      <c r="R215" s="119"/>
    </row>
    <row r="216" spans="2:18" ht="15.75" x14ac:dyDescent="0.25">
      <c r="B216" s="143" t="s">
        <v>179</v>
      </c>
      <c r="C216" s="146">
        <v>2</v>
      </c>
      <c r="D216" s="146">
        <v>0</v>
      </c>
      <c r="E216" s="146"/>
      <c r="F216" s="146">
        <v>625</v>
      </c>
      <c r="G216" s="143" t="s">
        <v>30</v>
      </c>
      <c r="H216" s="146" t="s">
        <v>321</v>
      </c>
      <c r="I216" s="161">
        <v>933.49</v>
      </c>
      <c r="J216" s="161">
        <v>823.44</v>
      </c>
      <c r="K216" s="161">
        <v>0</v>
      </c>
      <c r="L216" s="164">
        <v>996.85</v>
      </c>
      <c r="M216" s="183">
        <v>0</v>
      </c>
      <c r="N216" s="172">
        <v>950.29200000000003</v>
      </c>
      <c r="O216" s="184">
        <f t="shared" si="31"/>
        <v>950.29200000000003</v>
      </c>
      <c r="P216" s="161">
        <v>951</v>
      </c>
      <c r="Q216" s="161">
        <v>951</v>
      </c>
      <c r="R216" s="119"/>
    </row>
    <row r="217" spans="2:18" ht="15.75" x14ac:dyDescent="0.25">
      <c r="B217" s="143" t="s">
        <v>179</v>
      </c>
      <c r="C217" s="146">
        <v>2</v>
      </c>
      <c r="D217" s="146">
        <v>0</v>
      </c>
      <c r="E217" s="146"/>
      <c r="F217" s="146">
        <v>625</v>
      </c>
      <c r="G217" s="143" t="s">
        <v>31</v>
      </c>
      <c r="H217" s="146" t="s">
        <v>322</v>
      </c>
      <c r="I217" s="161">
        <v>9394.16</v>
      </c>
      <c r="J217" s="161">
        <v>8568.92</v>
      </c>
      <c r="K217" s="161">
        <v>0</v>
      </c>
      <c r="L217" s="164">
        <v>8408.24</v>
      </c>
      <c r="M217" s="183">
        <v>0</v>
      </c>
      <c r="N217" s="172">
        <v>9502.92</v>
      </c>
      <c r="O217" s="184">
        <f t="shared" si="31"/>
        <v>9502.92</v>
      </c>
      <c r="P217" s="161">
        <v>9505</v>
      </c>
      <c r="Q217" s="161">
        <v>9505</v>
      </c>
      <c r="R217" s="119"/>
    </row>
    <row r="218" spans="2:18" ht="15.75" x14ac:dyDescent="0.25">
      <c r="B218" s="143" t="s">
        <v>179</v>
      </c>
      <c r="C218" s="146">
        <v>2</v>
      </c>
      <c r="D218" s="146">
        <v>0</v>
      </c>
      <c r="E218" s="146"/>
      <c r="F218" s="146">
        <v>625</v>
      </c>
      <c r="G218" s="143" t="s">
        <v>29</v>
      </c>
      <c r="H218" s="146" t="s">
        <v>323</v>
      </c>
      <c r="I218" s="161">
        <v>536.38</v>
      </c>
      <c r="J218" s="161">
        <v>491.58</v>
      </c>
      <c r="K218" s="161">
        <v>0</v>
      </c>
      <c r="L218" s="164">
        <v>547.49</v>
      </c>
      <c r="M218" s="183">
        <v>0</v>
      </c>
      <c r="N218" s="172">
        <v>543.024</v>
      </c>
      <c r="O218" s="184">
        <f t="shared" si="31"/>
        <v>543.024</v>
      </c>
      <c r="P218" s="161">
        <v>550</v>
      </c>
      <c r="Q218" s="161">
        <v>550</v>
      </c>
      <c r="R218" s="119"/>
    </row>
    <row r="219" spans="2:18" ht="15.75" x14ac:dyDescent="0.25">
      <c r="B219" s="143" t="s">
        <v>179</v>
      </c>
      <c r="C219" s="146">
        <v>2</v>
      </c>
      <c r="D219" s="146">
        <v>0</v>
      </c>
      <c r="E219" s="146"/>
      <c r="F219" s="146">
        <v>625</v>
      </c>
      <c r="G219" s="143" t="s">
        <v>34</v>
      </c>
      <c r="H219" s="146" t="s">
        <v>324</v>
      </c>
      <c r="I219" s="161">
        <v>1560.49</v>
      </c>
      <c r="J219" s="161">
        <v>1416.33</v>
      </c>
      <c r="K219" s="161">
        <v>0</v>
      </c>
      <c r="L219" s="164">
        <v>603</v>
      </c>
      <c r="M219" s="183">
        <v>0</v>
      </c>
      <c r="N219" s="172">
        <v>2036.34</v>
      </c>
      <c r="O219" s="184">
        <f t="shared" si="31"/>
        <v>2036.34</v>
      </c>
      <c r="P219" s="161">
        <v>240</v>
      </c>
      <c r="Q219" s="161">
        <v>240</v>
      </c>
      <c r="R219" s="119"/>
    </row>
    <row r="220" spans="2:18" ht="15.75" x14ac:dyDescent="0.25">
      <c r="B220" s="143" t="s">
        <v>179</v>
      </c>
      <c r="C220" s="146">
        <v>2</v>
      </c>
      <c r="D220" s="146">
        <v>0</v>
      </c>
      <c r="E220" s="146"/>
      <c r="F220" s="146">
        <v>625</v>
      </c>
      <c r="G220" s="143" t="s">
        <v>107</v>
      </c>
      <c r="H220" s="146" t="s">
        <v>325</v>
      </c>
      <c r="I220" s="161">
        <v>516.01</v>
      </c>
      <c r="J220" s="161">
        <v>456.72</v>
      </c>
      <c r="K220" s="161">
        <v>0</v>
      </c>
      <c r="L220" s="164">
        <v>428.34</v>
      </c>
      <c r="M220" s="183">
        <v>0</v>
      </c>
      <c r="N220" s="172">
        <v>678.78</v>
      </c>
      <c r="O220" s="184">
        <f t="shared" si="31"/>
        <v>678.78</v>
      </c>
      <c r="P220" s="161">
        <v>680</v>
      </c>
      <c r="Q220" s="161">
        <v>680</v>
      </c>
      <c r="R220" s="119"/>
    </row>
    <row r="221" spans="2:18" ht="15.75" x14ac:dyDescent="0.25">
      <c r="B221" s="143" t="s">
        <v>179</v>
      </c>
      <c r="C221" s="146">
        <v>2</v>
      </c>
      <c r="D221" s="146">
        <v>0</v>
      </c>
      <c r="E221" s="146"/>
      <c r="F221" s="146">
        <v>625</v>
      </c>
      <c r="G221" s="143" t="s">
        <v>185</v>
      </c>
      <c r="H221" s="146" t="s">
        <v>326</v>
      </c>
      <c r="I221" s="161">
        <v>3186.98</v>
      </c>
      <c r="J221" s="161">
        <v>2907</v>
      </c>
      <c r="K221" s="161">
        <v>0</v>
      </c>
      <c r="L221" s="164">
        <v>3092.61</v>
      </c>
      <c r="M221" s="183">
        <v>0</v>
      </c>
      <c r="N221" s="172">
        <v>3224.2049999999999</v>
      </c>
      <c r="O221" s="184">
        <f t="shared" si="31"/>
        <v>3224.2049999999999</v>
      </c>
      <c r="P221" s="161">
        <v>3225</v>
      </c>
      <c r="Q221" s="161">
        <v>3225</v>
      </c>
      <c r="R221" s="119"/>
    </row>
    <row r="222" spans="2:18" ht="15.75" x14ac:dyDescent="0.25">
      <c r="B222" s="143" t="s">
        <v>179</v>
      </c>
      <c r="C222" s="146">
        <v>2</v>
      </c>
      <c r="D222" s="146">
        <v>0</v>
      </c>
      <c r="E222" s="146"/>
      <c r="F222" s="146">
        <v>627</v>
      </c>
      <c r="G222" s="143"/>
      <c r="H222" s="146" t="s">
        <v>327</v>
      </c>
      <c r="I222" s="161">
        <v>518.13</v>
      </c>
      <c r="J222" s="161">
        <v>514.30999999999995</v>
      </c>
      <c r="K222" s="161">
        <v>0</v>
      </c>
      <c r="L222" s="164">
        <v>352.16</v>
      </c>
      <c r="M222" s="183">
        <v>0</v>
      </c>
      <c r="N222" s="172">
        <v>1357.56</v>
      </c>
      <c r="O222" s="184">
        <f t="shared" si="31"/>
        <v>1357.56</v>
      </c>
      <c r="P222" s="161">
        <v>1360</v>
      </c>
      <c r="Q222" s="161">
        <v>1360</v>
      </c>
      <c r="R222" s="119"/>
    </row>
    <row r="223" spans="2:18" ht="15.75" x14ac:dyDescent="0.25">
      <c r="B223" s="143" t="s">
        <v>179</v>
      </c>
      <c r="C223" s="146">
        <v>2</v>
      </c>
      <c r="D223" s="146">
        <v>0</v>
      </c>
      <c r="E223" s="146"/>
      <c r="F223" s="146">
        <v>632</v>
      </c>
      <c r="G223" s="143" t="s">
        <v>30</v>
      </c>
      <c r="H223" s="146" t="s">
        <v>83</v>
      </c>
      <c r="I223" s="161">
        <v>300.95</v>
      </c>
      <c r="J223" s="161">
        <v>403</v>
      </c>
      <c r="K223" s="161">
        <v>400</v>
      </c>
      <c r="L223" s="164">
        <v>956.05</v>
      </c>
      <c r="M223" s="183">
        <v>0</v>
      </c>
      <c r="N223" s="172">
        <v>900</v>
      </c>
      <c r="O223" s="184">
        <f t="shared" si="31"/>
        <v>900</v>
      </c>
      <c r="P223" s="161">
        <v>900</v>
      </c>
      <c r="Q223" s="161">
        <v>900</v>
      </c>
      <c r="R223" s="119"/>
    </row>
    <row r="224" spans="2:18" ht="15.75" x14ac:dyDescent="0.25">
      <c r="B224" s="143" t="s">
        <v>179</v>
      </c>
      <c r="C224" s="146">
        <v>2</v>
      </c>
      <c r="D224" s="146">
        <v>0</v>
      </c>
      <c r="E224" s="146"/>
      <c r="F224" s="146">
        <v>633</v>
      </c>
      <c r="G224" s="143" t="s">
        <v>34</v>
      </c>
      <c r="H224" s="146" t="s">
        <v>312</v>
      </c>
      <c r="I224" s="161">
        <v>0</v>
      </c>
      <c r="J224" s="161">
        <v>1272</v>
      </c>
      <c r="K224" s="161">
        <v>1000</v>
      </c>
      <c r="L224" s="161">
        <v>12.7</v>
      </c>
      <c r="M224" s="183">
        <v>0</v>
      </c>
      <c r="N224" s="172">
        <v>1000</v>
      </c>
      <c r="O224" s="184">
        <f t="shared" si="31"/>
        <v>1000</v>
      </c>
      <c r="P224" s="161">
        <v>500</v>
      </c>
      <c r="Q224" s="161">
        <v>200</v>
      </c>
      <c r="R224" s="119"/>
    </row>
    <row r="225" spans="2:18" ht="15.75" x14ac:dyDescent="0.25">
      <c r="B225" s="143" t="s">
        <v>179</v>
      </c>
      <c r="C225" s="146">
        <v>2</v>
      </c>
      <c r="D225" s="146">
        <v>0</v>
      </c>
      <c r="E225" s="146"/>
      <c r="F225" s="146">
        <v>633</v>
      </c>
      <c r="G225" s="143" t="s">
        <v>35</v>
      </c>
      <c r="H225" s="146" t="s">
        <v>90</v>
      </c>
      <c r="I225" s="161">
        <v>923.34</v>
      </c>
      <c r="J225" s="161">
        <v>1012.17</v>
      </c>
      <c r="K225" s="161">
        <v>2000</v>
      </c>
      <c r="L225" s="161">
        <v>465.59</v>
      </c>
      <c r="M225" s="183">
        <v>0</v>
      </c>
      <c r="N225" s="172">
        <v>600</v>
      </c>
      <c r="O225" s="184">
        <f t="shared" si="31"/>
        <v>600</v>
      </c>
      <c r="P225" s="161">
        <v>600</v>
      </c>
      <c r="Q225" s="161">
        <v>600</v>
      </c>
      <c r="R225" s="119"/>
    </row>
    <row r="226" spans="2:18" ht="15.75" x14ac:dyDescent="0.25">
      <c r="B226" s="143" t="s">
        <v>179</v>
      </c>
      <c r="C226" s="146">
        <v>2</v>
      </c>
      <c r="D226" s="146">
        <v>0</v>
      </c>
      <c r="E226" s="146"/>
      <c r="F226" s="146">
        <v>633</v>
      </c>
      <c r="G226" s="143" t="s">
        <v>125</v>
      </c>
      <c r="H226" s="146" t="s">
        <v>188</v>
      </c>
      <c r="I226" s="161">
        <v>502.16</v>
      </c>
      <c r="J226" s="161">
        <v>88.98</v>
      </c>
      <c r="K226" s="161">
        <v>500</v>
      </c>
      <c r="L226" s="161">
        <v>183</v>
      </c>
      <c r="M226" s="183">
        <v>0</v>
      </c>
      <c r="N226" s="172">
        <v>200</v>
      </c>
      <c r="O226" s="184">
        <f t="shared" si="31"/>
        <v>200</v>
      </c>
      <c r="P226" s="161">
        <v>200</v>
      </c>
      <c r="Q226" s="161">
        <v>300</v>
      </c>
      <c r="R226" s="119"/>
    </row>
    <row r="227" spans="2:18" ht="15.75" x14ac:dyDescent="0.25">
      <c r="B227" s="143" t="s">
        <v>179</v>
      </c>
      <c r="C227" s="146">
        <v>2</v>
      </c>
      <c r="D227" s="146">
        <v>0</v>
      </c>
      <c r="E227" s="146"/>
      <c r="F227" s="146">
        <v>633</v>
      </c>
      <c r="G227" s="143" t="s">
        <v>134</v>
      </c>
      <c r="H227" s="146" t="s">
        <v>175</v>
      </c>
      <c r="I227" s="161">
        <v>273.41000000000003</v>
      </c>
      <c r="J227" s="161">
        <v>478.82</v>
      </c>
      <c r="K227" s="161">
        <v>900</v>
      </c>
      <c r="L227" s="161">
        <v>400</v>
      </c>
      <c r="M227" s="183">
        <v>0</v>
      </c>
      <c r="N227" s="172">
        <v>500</v>
      </c>
      <c r="O227" s="184">
        <f t="shared" si="31"/>
        <v>500</v>
      </c>
      <c r="P227" s="161">
        <v>500</v>
      </c>
      <c r="Q227" s="161">
        <v>500</v>
      </c>
      <c r="R227" s="119"/>
    </row>
    <row r="228" spans="2:18" ht="15.75" x14ac:dyDescent="0.25">
      <c r="B228" s="143" t="s">
        <v>179</v>
      </c>
      <c r="C228" s="146">
        <v>2</v>
      </c>
      <c r="D228" s="146">
        <v>0</v>
      </c>
      <c r="E228" s="146"/>
      <c r="F228" s="146">
        <v>634</v>
      </c>
      <c r="G228" s="143" t="s">
        <v>30</v>
      </c>
      <c r="H228" s="146" t="s">
        <v>176</v>
      </c>
      <c r="I228" s="161">
        <v>689.64</v>
      </c>
      <c r="J228" s="161">
        <v>933.42</v>
      </c>
      <c r="K228" s="161">
        <v>700</v>
      </c>
      <c r="L228" s="161">
        <v>1247.17</v>
      </c>
      <c r="M228" s="183">
        <v>0</v>
      </c>
      <c r="N228" s="172">
        <v>1100</v>
      </c>
      <c r="O228" s="184">
        <f t="shared" si="31"/>
        <v>1100</v>
      </c>
      <c r="P228" s="161">
        <v>1100</v>
      </c>
      <c r="Q228" s="161">
        <v>1100</v>
      </c>
      <c r="R228" s="119"/>
    </row>
    <row r="229" spans="2:18" ht="15.75" x14ac:dyDescent="0.25">
      <c r="B229" s="143" t="s">
        <v>179</v>
      </c>
      <c r="C229" s="146">
        <v>2</v>
      </c>
      <c r="D229" s="146">
        <v>0</v>
      </c>
      <c r="E229" s="146"/>
      <c r="F229" s="146">
        <v>634</v>
      </c>
      <c r="G229" s="143" t="s">
        <v>31</v>
      </c>
      <c r="H229" s="146" t="s">
        <v>290</v>
      </c>
      <c r="I229" s="161">
        <v>843.22</v>
      </c>
      <c r="J229" s="161">
        <v>2101.5500000000002</v>
      </c>
      <c r="K229" s="161">
        <v>1500</v>
      </c>
      <c r="L229" s="161">
        <v>1293.8399999999999</v>
      </c>
      <c r="M229" s="183">
        <v>0</v>
      </c>
      <c r="N229" s="172">
        <v>1300</v>
      </c>
      <c r="O229" s="184">
        <f t="shared" si="31"/>
        <v>1300</v>
      </c>
      <c r="P229" s="161">
        <v>1200</v>
      </c>
      <c r="Q229" s="161">
        <v>1200</v>
      </c>
      <c r="R229" s="119"/>
    </row>
    <row r="230" spans="2:18" ht="31.5" x14ac:dyDescent="0.25">
      <c r="B230" s="143" t="s">
        <v>179</v>
      </c>
      <c r="C230" s="146">
        <v>2</v>
      </c>
      <c r="D230" s="146">
        <v>0</v>
      </c>
      <c r="E230" s="146"/>
      <c r="F230" s="146">
        <v>635</v>
      </c>
      <c r="G230" s="143" t="s">
        <v>34</v>
      </c>
      <c r="H230" s="178" t="s">
        <v>187</v>
      </c>
      <c r="I230" s="161">
        <v>803.58</v>
      </c>
      <c r="J230" s="161">
        <v>2516.98</v>
      </c>
      <c r="K230" s="161">
        <v>2000</v>
      </c>
      <c r="L230" s="161">
        <v>1439.6</v>
      </c>
      <c r="M230" s="183">
        <v>0</v>
      </c>
      <c r="N230" s="172">
        <v>1500</v>
      </c>
      <c r="O230" s="184">
        <f t="shared" si="31"/>
        <v>1500</v>
      </c>
      <c r="P230" s="161">
        <v>1500</v>
      </c>
      <c r="Q230" s="161">
        <v>1500</v>
      </c>
      <c r="R230" s="119"/>
    </row>
    <row r="231" spans="2:18" ht="31.5" customHeight="1" x14ac:dyDescent="0.25">
      <c r="B231" s="143" t="s">
        <v>179</v>
      </c>
      <c r="C231" s="146">
        <v>2</v>
      </c>
      <c r="D231" s="146">
        <v>0</v>
      </c>
      <c r="E231" s="146"/>
      <c r="F231" s="146">
        <v>635</v>
      </c>
      <c r="G231" s="143" t="s">
        <v>35</v>
      </c>
      <c r="H231" s="178" t="s">
        <v>170</v>
      </c>
      <c r="I231" s="161">
        <v>702.25</v>
      </c>
      <c r="J231" s="161">
        <v>0</v>
      </c>
      <c r="K231" s="161">
        <v>2000</v>
      </c>
      <c r="L231" s="161">
        <v>1088.22</v>
      </c>
      <c r="M231" s="183">
        <v>0</v>
      </c>
      <c r="N231" s="172">
        <v>1000</v>
      </c>
      <c r="O231" s="184">
        <f t="shared" si="31"/>
        <v>1000</v>
      </c>
      <c r="P231" s="161">
        <v>1000</v>
      </c>
      <c r="Q231" s="161">
        <v>1100</v>
      </c>
      <c r="R231" s="119"/>
    </row>
    <row r="232" spans="2:18" ht="15.75" x14ac:dyDescent="0.25">
      <c r="B232" s="143" t="s">
        <v>179</v>
      </c>
      <c r="C232" s="146">
        <v>2</v>
      </c>
      <c r="D232" s="146">
        <v>0</v>
      </c>
      <c r="E232" s="146"/>
      <c r="F232" s="146">
        <v>637</v>
      </c>
      <c r="G232" s="143" t="s">
        <v>34</v>
      </c>
      <c r="H232" s="146" t="s">
        <v>111</v>
      </c>
      <c r="I232" s="161">
        <v>2078.63</v>
      </c>
      <c r="J232" s="161">
        <v>4136.99</v>
      </c>
      <c r="K232" s="161">
        <v>3000</v>
      </c>
      <c r="L232" s="161">
        <v>5000</v>
      </c>
      <c r="M232" s="183">
        <v>0</v>
      </c>
      <c r="N232" s="172">
        <v>2500</v>
      </c>
      <c r="O232" s="184">
        <f t="shared" si="31"/>
        <v>2500</v>
      </c>
      <c r="P232" s="161">
        <v>2600</v>
      </c>
      <c r="Q232" s="161">
        <v>2600</v>
      </c>
      <c r="R232" s="119"/>
    </row>
    <row r="233" spans="2:18" ht="15.75" x14ac:dyDescent="0.25">
      <c r="B233" s="143" t="s">
        <v>179</v>
      </c>
      <c r="C233" s="146">
        <v>2</v>
      </c>
      <c r="D233" s="146">
        <v>0</v>
      </c>
      <c r="E233" s="146"/>
      <c r="F233" s="146">
        <v>637</v>
      </c>
      <c r="G233" s="143" t="s">
        <v>107</v>
      </c>
      <c r="H233" s="146" t="s">
        <v>112</v>
      </c>
      <c r="I233" s="161">
        <v>4644.96</v>
      </c>
      <c r="J233" s="161">
        <v>8793.51</v>
      </c>
      <c r="K233" s="161">
        <v>4000</v>
      </c>
      <c r="L233" s="161">
        <v>5666</v>
      </c>
      <c r="M233" s="183">
        <v>0</v>
      </c>
      <c r="N233" s="172">
        <v>3500</v>
      </c>
      <c r="O233" s="184">
        <f t="shared" si="31"/>
        <v>3500</v>
      </c>
      <c r="P233" s="161">
        <v>3600</v>
      </c>
      <c r="Q233" s="161">
        <v>3600</v>
      </c>
      <c r="R233" s="119"/>
    </row>
    <row r="234" spans="2:18" ht="15.75" x14ac:dyDescent="0.25">
      <c r="B234" s="143" t="s">
        <v>179</v>
      </c>
      <c r="C234" s="146">
        <v>2</v>
      </c>
      <c r="D234" s="146">
        <v>0</v>
      </c>
      <c r="E234" s="146"/>
      <c r="F234" s="146">
        <v>637</v>
      </c>
      <c r="G234" s="143" t="s">
        <v>39</v>
      </c>
      <c r="H234" s="146" t="s">
        <v>331</v>
      </c>
      <c r="I234" s="161">
        <v>0</v>
      </c>
      <c r="J234" s="161">
        <v>159.13999999999999</v>
      </c>
      <c r="K234" s="161">
        <v>0</v>
      </c>
      <c r="L234" s="161">
        <v>173.99</v>
      </c>
      <c r="M234" s="183">
        <v>0</v>
      </c>
      <c r="N234" s="172">
        <v>0</v>
      </c>
      <c r="O234" s="184">
        <f t="shared" si="31"/>
        <v>0</v>
      </c>
      <c r="P234" s="161">
        <v>0</v>
      </c>
      <c r="Q234" s="161">
        <v>0</v>
      </c>
      <c r="R234" s="119"/>
    </row>
    <row r="235" spans="2:18" ht="15.75" x14ac:dyDescent="0.25">
      <c r="B235" s="143" t="s">
        <v>179</v>
      </c>
      <c r="C235" s="146">
        <v>2</v>
      </c>
      <c r="D235" s="146">
        <v>0</v>
      </c>
      <c r="E235" s="146"/>
      <c r="F235" s="146">
        <v>637</v>
      </c>
      <c r="G235" s="143" t="s">
        <v>32</v>
      </c>
      <c r="H235" s="146" t="s">
        <v>114</v>
      </c>
      <c r="I235" s="161">
        <v>0</v>
      </c>
      <c r="J235" s="161">
        <v>88</v>
      </c>
      <c r="K235" s="161">
        <v>0</v>
      </c>
      <c r="L235" s="161">
        <v>0</v>
      </c>
      <c r="M235" s="183">
        <v>0</v>
      </c>
      <c r="N235" s="172">
        <v>0</v>
      </c>
      <c r="O235" s="184">
        <f t="shared" si="31"/>
        <v>0</v>
      </c>
      <c r="P235" s="161">
        <v>0</v>
      </c>
      <c r="Q235" s="161">
        <v>0</v>
      </c>
      <c r="R235" s="119"/>
    </row>
    <row r="236" spans="2:18" ht="15.75" x14ac:dyDescent="0.25">
      <c r="B236" s="143" t="s">
        <v>179</v>
      </c>
      <c r="C236" s="146">
        <v>2</v>
      </c>
      <c r="D236" s="146">
        <v>0</v>
      </c>
      <c r="E236" s="146"/>
      <c r="F236" s="146">
        <v>637</v>
      </c>
      <c r="G236" s="143" t="s">
        <v>127</v>
      </c>
      <c r="H236" s="146" t="s">
        <v>115</v>
      </c>
      <c r="I236" s="161">
        <v>4254.34</v>
      </c>
      <c r="J236" s="161">
        <v>3679.35</v>
      </c>
      <c r="K236" s="161">
        <v>3500</v>
      </c>
      <c r="L236" s="164">
        <v>4128.1499999999996</v>
      </c>
      <c r="M236" s="183">
        <v>0</v>
      </c>
      <c r="N236" s="172">
        <v>4200</v>
      </c>
      <c r="O236" s="184">
        <f t="shared" si="31"/>
        <v>4200</v>
      </c>
      <c r="P236" s="161">
        <v>4200</v>
      </c>
      <c r="Q236" s="161">
        <v>4200</v>
      </c>
      <c r="R236" s="119"/>
    </row>
    <row r="237" spans="2:18" ht="15.75" x14ac:dyDescent="0.25">
      <c r="B237" s="143" t="s">
        <v>179</v>
      </c>
      <c r="C237" s="146">
        <v>2</v>
      </c>
      <c r="D237" s="146">
        <v>0</v>
      </c>
      <c r="E237" s="146"/>
      <c r="F237" s="146">
        <v>637</v>
      </c>
      <c r="G237" s="143" t="s">
        <v>126</v>
      </c>
      <c r="H237" s="146" t="s">
        <v>382</v>
      </c>
      <c r="I237" s="161">
        <v>603.79999999999995</v>
      </c>
      <c r="J237" s="161">
        <v>535.23</v>
      </c>
      <c r="K237" s="161">
        <v>600</v>
      </c>
      <c r="L237" s="164">
        <v>531.42999999999995</v>
      </c>
      <c r="M237" s="183">
        <v>0</v>
      </c>
      <c r="N237" s="172">
        <v>678.78</v>
      </c>
      <c r="O237" s="184">
        <f>N237+M237</f>
        <v>678.78</v>
      </c>
      <c r="P237" s="161">
        <v>680</v>
      </c>
      <c r="Q237" s="161">
        <v>680</v>
      </c>
      <c r="R237" s="119"/>
    </row>
    <row r="238" spans="2:18" ht="16.5" thickBot="1" x14ac:dyDescent="0.3">
      <c r="B238" s="144" t="s">
        <v>179</v>
      </c>
      <c r="C238" s="147">
        <v>2</v>
      </c>
      <c r="D238" s="147">
        <v>0</v>
      </c>
      <c r="E238" s="147"/>
      <c r="F238" s="147">
        <v>637</v>
      </c>
      <c r="G238" s="144" t="s">
        <v>38</v>
      </c>
      <c r="H238" s="28" t="s">
        <v>186</v>
      </c>
      <c r="I238" s="162">
        <v>196.09</v>
      </c>
      <c r="J238" s="162">
        <v>1783.74</v>
      </c>
      <c r="K238" s="162">
        <v>1500</v>
      </c>
      <c r="L238" s="165">
        <v>815.23</v>
      </c>
      <c r="M238" s="192">
        <v>0</v>
      </c>
      <c r="N238" s="193">
        <v>1500</v>
      </c>
      <c r="O238" s="194">
        <f>N238+M238</f>
        <v>1500</v>
      </c>
      <c r="P238" s="162">
        <v>1500</v>
      </c>
      <c r="Q238" s="162">
        <v>1500</v>
      </c>
      <c r="R238" s="119"/>
    </row>
    <row r="239" spans="2:18" ht="18.75" customHeight="1" thickBot="1" x14ac:dyDescent="0.3">
      <c r="B239" s="446" t="s">
        <v>189</v>
      </c>
      <c r="C239" s="447"/>
      <c r="D239" s="447"/>
      <c r="E239" s="447"/>
      <c r="F239" s="447"/>
      <c r="G239" s="447"/>
      <c r="H239" s="447"/>
      <c r="I239" s="171">
        <f>SUM(I212:I238)</f>
        <v>106848.67000000001</v>
      </c>
      <c r="J239" s="171">
        <f>SUM(J212:J238)</f>
        <v>108650.74</v>
      </c>
      <c r="K239" s="171">
        <f>SUM(K212:K238)</f>
        <v>111020</v>
      </c>
      <c r="L239" s="171">
        <f>SUM(L212:L238)</f>
        <v>111604.51</v>
      </c>
      <c r="M239" s="78">
        <f t="shared" ref="M239:N239" si="32">SUM(M212:M238)</f>
        <v>0</v>
      </c>
      <c r="N239" s="78">
        <f t="shared" si="32"/>
        <v>113437.70099999999</v>
      </c>
      <c r="O239" s="78">
        <f>SUM(O212:O238)</f>
        <v>113437.70099999999</v>
      </c>
      <c r="P239" s="171">
        <f t="shared" ref="P239" si="33">SUM(P212:P238)</f>
        <v>111259</v>
      </c>
      <c r="Q239" s="171">
        <f>SUM(Q212:Q238)</f>
        <v>111159</v>
      </c>
      <c r="R239" s="376"/>
    </row>
    <row r="240" spans="2:18" ht="19.5" thickBot="1" x14ac:dyDescent="0.35">
      <c r="B240" s="34"/>
      <c r="R240" s="119"/>
    </row>
    <row r="241" spans="2:18" ht="20.25" thickBot="1" x14ac:dyDescent="0.3">
      <c r="B241" s="399" t="s">
        <v>190</v>
      </c>
      <c r="C241" s="400"/>
      <c r="D241" s="400"/>
      <c r="E241" s="400"/>
      <c r="F241" s="400"/>
      <c r="G241" s="400"/>
      <c r="H241" s="400"/>
      <c r="I241" s="400"/>
      <c r="J241" s="400"/>
      <c r="K241" s="400"/>
      <c r="L241" s="400"/>
      <c r="M241" s="400"/>
      <c r="N241" s="400"/>
      <c r="O241" s="400"/>
      <c r="P241" s="400"/>
      <c r="Q241" s="401"/>
      <c r="R241" s="119"/>
    </row>
    <row r="242" spans="2:18" ht="16.5" thickBot="1" x14ac:dyDescent="0.3">
      <c r="B242" s="402" t="s">
        <v>64</v>
      </c>
      <c r="C242" s="402" t="s">
        <v>65</v>
      </c>
      <c r="D242" s="402" t="s">
        <v>66</v>
      </c>
      <c r="E242" s="402" t="s">
        <v>67</v>
      </c>
      <c r="F242" s="402" t="s">
        <v>24</v>
      </c>
      <c r="G242" s="405" t="s">
        <v>25</v>
      </c>
      <c r="H242" s="402" t="s">
        <v>22</v>
      </c>
      <c r="I242" s="397" t="s">
        <v>68</v>
      </c>
      <c r="J242" s="397" t="s">
        <v>303</v>
      </c>
      <c r="K242" s="397" t="s">
        <v>365</v>
      </c>
      <c r="L242" s="397" t="s">
        <v>364</v>
      </c>
      <c r="M242" s="409" t="s">
        <v>18</v>
      </c>
      <c r="N242" s="410"/>
      <c r="O242" s="411"/>
      <c r="P242" s="397" t="s">
        <v>0</v>
      </c>
      <c r="Q242" s="397" t="s">
        <v>294</v>
      </c>
      <c r="R242" s="119"/>
    </row>
    <row r="243" spans="2:18" ht="44.25" customHeight="1" thickBot="1" x14ac:dyDescent="0.3">
      <c r="B243" s="403"/>
      <c r="C243" s="403"/>
      <c r="D243" s="404"/>
      <c r="E243" s="404"/>
      <c r="F243" s="403"/>
      <c r="G243" s="406"/>
      <c r="H243" s="403"/>
      <c r="I243" s="407"/>
      <c r="J243" s="407"/>
      <c r="K243" s="398"/>
      <c r="L243" s="408"/>
      <c r="M243" s="72">
        <v>111</v>
      </c>
      <c r="N243" s="72">
        <v>41</v>
      </c>
      <c r="O243" s="73" t="s">
        <v>106</v>
      </c>
      <c r="P243" s="420"/>
      <c r="Q243" s="407"/>
      <c r="R243" s="119"/>
    </row>
    <row r="244" spans="2:18" ht="16.5" thickBot="1" x14ac:dyDescent="0.3">
      <c r="B244" s="55" t="s">
        <v>70</v>
      </c>
      <c r="C244" s="55" t="s">
        <v>71</v>
      </c>
      <c r="D244" s="67" t="s">
        <v>72</v>
      </c>
      <c r="E244" s="55" t="s">
        <v>73</v>
      </c>
      <c r="F244" s="56" t="s">
        <v>74</v>
      </c>
      <c r="G244" s="57" t="s">
        <v>75</v>
      </c>
      <c r="H244" s="58" t="s">
        <v>76</v>
      </c>
      <c r="I244" s="57">
        <v>1</v>
      </c>
      <c r="J244" s="65">
        <v>2</v>
      </c>
      <c r="K244" s="54" t="s">
        <v>152</v>
      </c>
      <c r="L244" s="57" t="s">
        <v>366</v>
      </c>
      <c r="M244" s="74" t="s">
        <v>336</v>
      </c>
      <c r="N244" s="75" t="s">
        <v>337</v>
      </c>
      <c r="O244" s="75" t="s">
        <v>338</v>
      </c>
      <c r="P244" s="57" t="s">
        <v>339</v>
      </c>
      <c r="Q244" s="206" t="s">
        <v>340</v>
      </c>
      <c r="R244" s="119"/>
    </row>
    <row r="245" spans="2:18" ht="15.75" x14ac:dyDescent="0.25">
      <c r="B245" s="142" t="s">
        <v>179</v>
      </c>
      <c r="C245" s="145">
        <v>4</v>
      </c>
      <c r="D245" s="145">
        <v>0</v>
      </c>
      <c r="E245" s="145"/>
      <c r="F245" s="145">
        <v>632</v>
      </c>
      <c r="G245" s="142" t="s">
        <v>30</v>
      </c>
      <c r="H245" s="209" t="s">
        <v>83</v>
      </c>
      <c r="I245" s="160">
        <v>18666.72</v>
      </c>
      <c r="J245" s="160">
        <v>16655.849999999999</v>
      </c>
      <c r="K245" s="160">
        <v>19000</v>
      </c>
      <c r="L245" s="160">
        <v>21489.360000000001</v>
      </c>
      <c r="M245" s="189">
        <v>0</v>
      </c>
      <c r="N245" s="190">
        <v>22800</v>
      </c>
      <c r="O245" s="191">
        <f>N245+M245</f>
        <v>22800</v>
      </c>
      <c r="P245" s="160">
        <v>22800</v>
      </c>
      <c r="Q245" s="160">
        <v>22800</v>
      </c>
      <c r="R245" s="119"/>
    </row>
    <row r="246" spans="2:18" ht="16.5" thickBot="1" x14ac:dyDescent="0.3">
      <c r="B246" s="207" t="s">
        <v>179</v>
      </c>
      <c r="C246" s="166">
        <v>4</v>
      </c>
      <c r="D246" s="166">
        <v>0</v>
      </c>
      <c r="E246" s="166"/>
      <c r="F246" s="166">
        <v>633</v>
      </c>
      <c r="G246" s="207" t="s">
        <v>35</v>
      </c>
      <c r="H246" s="210" t="s">
        <v>90</v>
      </c>
      <c r="I246" s="162">
        <v>0</v>
      </c>
      <c r="J246" s="162">
        <v>0</v>
      </c>
      <c r="K246" s="162">
        <v>0</v>
      </c>
      <c r="L246" s="162">
        <v>0</v>
      </c>
      <c r="M246" s="192">
        <v>0</v>
      </c>
      <c r="N246" s="193">
        <v>0</v>
      </c>
      <c r="O246" s="194">
        <f>N246+M246</f>
        <v>0</v>
      </c>
      <c r="P246" s="162">
        <v>0</v>
      </c>
      <c r="Q246" s="162">
        <v>0</v>
      </c>
      <c r="R246" s="119"/>
    </row>
    <row r="247" spans="2:18" ht="18.75" customHeight="1" thickBot="1" x14ac:dyDescent="0.35">
      <c r="B247" s="462" t="s">
        <v>191</v>
      </c>
      <c r="C247" s="463"/>
      <c r="D247" s="463"/>
      <c r="E247" s="463"/>
      <c r="F247" s="463"/>
      <c r="G247" s="463"/>
      <c r="H247" s="464"/>
      <c r="I247" s="101">
        <f>SUM(I245:I246)</f>
        <v>18666.72</v>
      </c>
      <c r="J247" s="171">
        <f>SUM(J245:J246)</f>
        <v>16655.849999999999</v>
      </c>
      <c r="K247" s="171">
        <f>SUM(K245:K246)</f>
        <v>19000</v>
      </c>
      <c r="L247" s="171">
        <f>SUM(L245:L246)</f>
        <v>21489.360000000001</v>
      </c>
      <c r="M247" s="78">
        <f t="shared" ref="M247:N247" si="34">SUM(M245:M246)</f>
        <v>0</v>
      </c>
      <c r="N247" s="78">
        <f t="shared" si="34"/>
        <v>22800</v>
      </c>
      <c r="O247" s="78">
        <f>SUM(O245:O246)</f>
        <v>22800</v>
      </c>
      <c r="P247" s="171">
        <f t="shared" ref="P247" si="35">SUM(P245:P246)</f>
        <v>22800</v>
      </c>
      <c r="Q247" s="171">
        <f t="shared" ref="Q247" si="36">SUM(Q245:Q246)</f>
        <v>22800</v>
      </c>
      <c r="R247" s="119"/>
    </row>
    <row r="248" spans="2:18" ht="19.5" thickBot="1" x14ac:dyDescent="0.35">
      <c r="B248" s="34"/>
      <c r="R248" s="119"/>
    </row>
    <row r="249" spans="2:18" ht="20.25" thickBot="1" x14ac:dyDescent="0.3">
      <c r="B249" s="399" t="s">
        <v>192</v>
      </c>
      <c r="C249" s="400"/>
      <c r="D249" s="400"/>
      <c r="E249" s="400"/>
      <c r="F249" s="400"/>
      <c r="G249" s="400"/>
      <c r="H249" s="400"/>
      <c r="I249" s="400"/>
      <c r="J249" s="400"/>
      <c r="K249" s="400"/>
      <c r="L249" s="400"/>
      <c r="M249" s="400"/>
      <c r="N249" s="400"/>
      <c r="O249" s="400"/>
      <c r="P249" s="400"/>
      <c r="Q249" s="401"/>
      <c r="R249" s="119"/>
    </row>
    <row r="250" spans="2:18" ht="16.5" thickBot="1" x14ac:dyDescent="0.3">
      <c r="B250" s="402" t="s">
        <v>64</v>
      </c>
      <c r="C250" s="402" t="s">
        <v>65</v>
      </c>
      <c r="D250" s="402" t="s">
        <v>66</v>
      </c>
      <c r="E250" s="402" t="s">
        <v>67</v>
      </c>
      <c r="F250" s="402" t="s">
        <v>24</v>
      </c>
      <c r="G250" s="405" t="s">
        <v>25</v>
      </c>
      <c r="H250" s="402" t="s">
        <v>22</v>
      </c>
      <c r="I250" s="397" t="s">
        <v>68</v>
      </c>
      <c r="J250" s="397" t="s">
        <v>303</v>
      </c>
      <c r="K250" s="397" t="s">
        <v>365</v>
      </c>
      <c r="L250" s="397" t="s">
        <v>364</v>
      </c>
      <c r="M250" s="409" t="s">
        <v>18</v>
      </c>
      <c r="N250" s="410"/>
      <c r="O250" s="411"/>
      <c r="P250" s="397" t="s">
        <v>18</v>
      </c>
      <c r="Q250" s="397" t="s">
        <v>0</v>
      </c>
      <c r="R250" s="119"/>
    </row>
    <row r="251" spans="2:18" ht="47.25" customHeight="1" thickBot="1" x14ac:dyDescent="0.3">
      <c r="B251" s="403"/>
      <c r="C251" s="403"/>
      <c r="D251" s="404"/>
      <c r="E251" s="404"/>
      <c r="F251" s="403"/>
      <c r="G251" s="406"/>
      <c r="H251" s="403"/>
      <c r="I251" s="407"/>
      <c r="J251" s="407"/>
      <c r="K251" s="398"/>
      <c r="L251" s="408"/>
      <c r="M251" s="72">
        <v>111</v>
      </c>
      <c r="N251" s="72">
        <v>41</v>
      </c>
      <c r="O251" s="73" t="s">
        <v>106</v>
      </c>
      <c r="P251" s="420"/>
      <c r="Q251" s="407"/>
      <c r="R251" s="119"/>
    </row>
    <row r="252" spans="2:18" ht="16.5" thickBot="1" x14ac:dyDescent="0.3">
      <c r="B252" s="55" t="s">
        <v>70</v>
      </c>
      <c r="C252" s="55" t="s">
        <v>71</v>
      </c>
      <c r="D252" s="67" t="s">
        <v>72</v>
      </c>
      <c r="E252" s="55" t="s">
        <v>73</v>
      </c>
      <c r="F252" s="56" t="s">
        <v>74</v>
      </c>
      <c r="G252" s="57" t="s">
        <v>75</v>
      </c>
      <c r="H252" s="47" t="s">
        <v>76</v>
      </c>
      <c r="I252" s="57">
        <v>1</v>
      </c>
      <c r="J252" s="65">
        <v>2</v>
      </c>
      <c r="K252" s="54" t="s">
        <v>152</v>
      </c>
      <c r="L252" s="57" t="s">
        <v>366</v>
      </c>
      <c r="M252" s="76" t="s">
        <v>336</v>
      </c>
      <c r="N252" s="75" t="s">
        <v>337</v>
      </c>
      <c r="O252" s="75" t="s">
        <v>338</v>
      </c>
      <c r="P252" s="66" t="s">
        <v>339</v>
      </c>
      <c r="Q252" s="57" t="s">
        <v>340</v>
      </c>
      <c r="R252" s="119"/>
    </row>
    <row r="253" spans="2:18" ht="15.75" x14ac:dyDescent="0.25">
      <c r="B253" s="142" t="s">
        <v>193</v>
      </c>
      <c r="C253" s="145">
        <v>1</v>
      </c>
      <c r="D253" s="145">
        <v>0</v>
      </c>
      <c r="E253" s="145"/>
      <c r="F253" s="145">
        <v>621</v>
      </c>
      <c r="G253" s="142"/>
      <c r="H253" s="226" t="s">
        <v>333</v>
      </c>
      <c r="I253" s="160">
        <v>194</v>
      </c>
      <c r="J253" s="160">
        <v>219.6</v>
      </c>
      <c r="K253" s="160">
        <v>768</v>
      </c>
      <c r="L253" s="163">
        <v>219.6</v>
      </c>
      <c r="M253" s="267">
        <v>0</v>
      </c>
      <c r="N253" s="190">
        <v>309.60000000000002</v>
      </c>
      <c r="O253" s="211">
        <f>N253+M253</f>
        <v>309.60000000000002</v>
      </c>
      <c r="P253" s="160">
        <v>310</v>
      </c>
      <c r="Q253" s="160">
        <v>310</v>
      </c>
      <c r="R253" s="119"/>
    </row>
    <row r="254" spans="2:18" ht="15.75" x14ac:dyDescent="0.25">
      <c r="B254" s="143" t="s">
        <v>193</v>
      </c>
      <c r="C254" s="146">
        <v>1</v>
      </c>
      <c r="D254" s="146">
        <v>0</v>
      </c>
      <c r="E254" s="146"/>
      <c r="F254" s="146">
        <v>625</v>
      </c>
      <c r="G254" s="143" t="s">
        <v>30</v>
      </c>
      <c r="H254" s="146" t="s">
        <v>321</v>
      </c>
      <c r="I254" s="161">
        <v>27.14</v>
      </c>
      <c r="J254" s="161">
        <v>30.72</v>
      </c>
      <c r="K254" s="161">
        <v>0</v>
      </c>
      <c r="L254" s="164">
        <v>30.72</v>
      </c>
      <c r="M254" s="267">
        <v>0</v>
      </c>
      <c r="N254" s="172">
        <v>43.344000000000001</v>
      </c>
      <c r="O254" s="177">
        <f t="shared" ref="O254:O267" si="37">N254+M254</f>
        <v>43.344000000000001</v>
      </c>
      <c r="P254" s="213">
        <v>45</v>
      </c>
      <c r="Q254" s="213">
        <v>45</v>
      </c>
      <c r="R254" s="119"/>
    </row>
    <row r="255" spans="2:18" ht="15.75" x14ac:dyDescent="0.25">
      <c r="B255" s="143" t="s">
        <v>193</v>
      </c>
      <c r="C255" s="146">
        <v>1</v>
      </c>
      <c r="D255" s="146">
        <v>0</v>
      </c>
      <c r="E255" s="146"/>
      <c r="F255" s="146">
        <v>625</v>
      </c>
      <c r="G255" s="143" t="s">
        <v>31</v>
      </c>
      <c r="H255" s="146" t="s">
        <v>322</v>
      </c>
      <c r="I255" s="161">
        <v>271.60000000000002</v>
      </c>
      <c r="J255" s="161">
        <v>307.44</v>
      </c>
      <c r="K255" s="161">
        <v>0</v>
      </c>
      <c r="L255" s="164">
        <v>307.44</v>
      </c>
      <c r="M255" s="267">
        <v>0</v>
      </c>
      <c r="N255" s="172">
        <v>433.44</v>
      </c>
      <c r="O255" s="177">
        <f t="shared" si="37"/>
        <v>433.44</v>
      </c>
      <c r="P255" s="161">
        <v>435</v>
      </c>
      <c r="Q255" s="161">
        <v>435</v>
      </c>
      <c r="R255" s="119"/>
    </row>
    <row r="256" spans="2:18" ht="15.75" x14ac:dyDescent="0.25">
      <c r="B256" s="143" t="s">
        <v>193</v>
      </c>
      <c r="C256" s="146">
        <v>1</v>
      </c>
      <c r="D256" s="146">
        <v>0</v>
      </c>
      <c r="E256" s="146"/>
      <c r="F256" s="146">
        <v>625</v>
      </c>
      <c r="G256" s="143" t="s">
        <v>29</v>
      </c>
      <c r="H256" s="146" t="s">
        <v>323</v>
      </c>
      <c r="I256" s="161">
        <v>15.48</v>
      </c>
      <c r="J256" s="161">
        <v>17.52</v>
      </c>
      <c r="K256" s="161">
        <v>0</v>
      </c>
      <c r="L256" s="164">
        <v>17.52</v>
      </c>
      <c r="M256" s="268">
        <v>0</v>
      </c>
      <c r="N256" s="172">
        <v>24.768000000000001</v>
      </c>
      <c r="O256" s="177">
        <f t="shared" si="37"/>
        <v>24.768000000000001</v>
      </c>
      <c r="P256" s="161">
        <v>25</v>
      </c>
      <c r="Q256" s="161">
        <v>25</v>
      </c>
      <c r="R256" s="119"/>
    </row>
    <row r="257" spans="2:28" ht="15.75" x14ac:dyDescent="0.25">
      <c r="B257" s="143" t="s">
        <v>193</v>
      </c>
      <c r="C257" s="146">
        <v>1</v>
      </c>
      <c r="D257" s="146">
        <v>0</v>
      </c>
      <c r="E257" s="146"/>
      <c r="F257" s="146">
        <v>625</v>
      </c>
      <c r="G257" s="143" t="s">
        <v>34</v>
      </c>
      <c r="H257" s="146" t="s">
        <v>324</v>
      </c>
      <c r="I257" s="161">
        <v>58.2</v>
      </c>
      <c r="J257" s="161">
        <v>65.88</v>
      </c>
      <c r="K257" s="161">
        <v>0</v>
      </c>
      <c r="L257" s="164">
        <v>65.88</v>
      </c>
      <c r="M257" s="268">
        <v>0</v>
      </c>
      <c r="N257" s="172">
        <v>92.88</v>
      </c>
      <c r="O257" s="177">
        <f t="shared" si="37"/>
        <v>92.88</v>
      </c>
      <c r="P257" s="161">
        <v>95</v>
      </c>
      <c r="Q257" s="161">
        <v>95</v>
      </c>
      <c r="R257" s="119"/>
    </row>
    <row r="258" spans="2:28" ht="15.75" x14ac:dyDescent="0.25">
      <c r="B258" s="143" t="s">
        <v>193</v>
      </c>
      <c r="C258" s="146">
        <v>1</v>
      </c>
      <c r="D258" s="146">
        <v>0</v>
      </c>
      <c r="E258" s="146"/>
      <c r="F258" s="146">
        <v>625</v>
      </c>
      <c r="G258" s="143" t="s">
        <v>107</v>
      </c>
      <c r="H258" s="146" t="s">
        <v>325</v>
      </c>
      <c r="I258" s="161">
        <v>19.399999999999999</v>
      </c>
      <c r="J258" s="161">
        <v>21.96</v>
      </c>
      <c r="K258" s="161">
        <v>0</v>
      </c>
      <c r="L258" s="164">
        <v>21.96</v>
      </c>
      <c r="M258" s="268">
        <v>0</v>
      </c>
      <c r="N258" s="172">
        <v>30.96</v>
      </c>
      <c r="O258" s="177">
        <f t="shared" si="37"/>
        <v>30.96</v>
      </c>
      <c r="P258" s="161">
        <v>31</v>
      </c>
      <c r="Q258" s="161">
        <v>31</v>
      </c>
      <c r="R258" s="119"/>
    </row>
    <row r="259" spans="2:28" ht="15.75" x14ac:dyDescent="0.25">
      <c r="B259" s="143" t="s">
        <v>193</v>
      </c>
      <c r="C259" s="146">
        <v>1</v>
      </c>
      <c r="D259" s="146">
        <v>0</v>
      </c>
      <c r="E259" s="146"/>
      <c r="F259" s="146">
        <v>625</v>
      </c>
      <c r="G259" s="143" t="s">
        <v>108</v>
      </c>
      <c r="H259" s="146" t="s">
        <v>326</v>
      </c>
      <c r="I259" s="161">
        <v>92.12</v>
      </c>
      <c r="J259" s="161">
        <v>104.28</v>
      </c>
      <c r="K259" s="161">
        <v>0</v>
      </c>
      <c r="L259" s="164">
        <v>104.28</v>
      </c>
      <c r="M259" s="268">
        <v>0</v>
      </c>
      <c r="N259" s="172">
        <v>147.06</v>
      </c>
      <c r="O259" s="177">
        <f t="shared" si="37"/>
        <v>147.06</v>
      </c>
      <c r="P259" s="161">
        <v>150</v>
      </c>
      <c r="Q259" s="161">
        <v>150</v>
      </c>
      <c r="R259" s="119"/>
    </row>
    <row r="260" spans="2:28" ht="15.75" x14ac:dyDescent="0.25">
      <c r="B260" s="143" t="s">
        <v>193</v>
      </c>
      <c r="C260" s="146">
        <v>1</v>
      </c>
      <c r="D260" s="146">
        <v>0</v>
      </c>
      <c r="E260" s="146"/>
      <c r="F260" s="146">
        <v>632</v>
      </c>
      <c r="G260" s="143" t="s">
        <v>30</v>
      </c>
      <c r="H260" s="146" t="s">
        <v>83</v>
      </c>
      <c r="I260" s="161">
        <v>4782.96</v>
      </c>
      <c r="J260" s="161">
        <v>122.23</v>
      </c>
      <c r="K260" s="161">
        <v>5000</v>
      </c>
      <c r="L260" s="164">
        <v>4792.46</v>
      </c>
      <c r="M260" s="268">
        <v>0</v>
      </c>
      <c r="N260" s="172">
        <v>6000</v>
      </c>
      <c r="O260" s="177">
        <f t="shared" si="37"/>
        <v>6000</v>
      </c>
      <c r="P260" s="161">
        <v>6000</v>
      </c>
      <c r="Q260" s="161">
        <v>6000</v>
      </c>
      <c r="R260" s="119"/>
    </row>
    <row r="261" spans="2:28" ht="15.75" x14ac:dyDescent="0.25">
      <c r="B261" s="143" t="s">
        <v>193</v>
      </c>
      <c r="C261" s="146">
        <v>1</v>
      </c>
      <c r="D261" s="146">
        <v>0</v>
      </c>
      <c r="E261" s="146"/>
      <c r="F261" s="146">
        <v>632</v>
      </c>
      <c r="G261" s="143" t="s">
        <v>31</v>
      </c>
      <c r="H261" s="146" t="s">
        <v>84</v>
      </c>
      <c r="I261" s="161">
        <v>121.29</v>
      </c>
      <c r="J261" s="161">
        <v>151.32</v>
      </c>
      <c r="K261" s="161">
        <v>800</v>
      </c>
      <c r="L261" s="161">
        <v>506.16</v>
      </c>
      <c r="M261" s="268">
        <v>0</v>
      </c>
      <c r="N261" s="172">
        <v>500</v>
      </c>
      <c r="O261" s="177">
        <f t="shared" si="37"/>
        <v>500</v>
      </c>
      <c r="P261" s="161">
        <v>500</v>
      </c>
      <c r="Q261" s="161">
        <v>500</v>
      </c>
      <c r="R261" s="119"/>
    </row>
    <row r="262" spans="2:28" ht="15.75" x14ac:dyDescent="0.25">
      <c r="B262" s="143" t="s">
        <v>193</v>
      </c>
      <c r="C262" s="146">
        <v>1</v>
      </c>
      <c r="D262" s="146">
        <v>0</v>
      </c>
      <c r="E262" s="146"/>
      <c r="F262" s="146">
        <v>633</v>
      </c>
      <c r="G262" s="143" t="s">
        <v>35</v>
      </c>
      <c r="H262" s="146" t="s">
        <v>90</v>
      </c>
      <c r="I262" s="161">
        <v>0</v>
      </c>
      <c r="J262" s="161">
        <v>130.19999999999999</v>
      </c>
      <c r="K262" s="161">
        <v>500</v>
      </c>
      <c r="L262" s="161">
        <v>0</v>
      </c>
      <c r="M262" s="268">
        <v>0</v>
      </c>
      <c r="N262" s="172">
        <v>0</v>
      </c>
      <c r="O262" s="177">
        <f t="shared" si="37"/>
        <v>0</v>
      </c>
      <c r="P262" s="161">
        <v>0</v>
      </c>
      <c r="Q262" s="161">
        <v>0</v>
      </c>
      <c r="R262" s="119"/>
    </row>
    <row r="263" spans="2:28" ht="15.75" x14ac:dyDescent="0.25">
      <c r="B263" s="143" t="s">
        <v>193</v>
      </c>
      <c r="C263" s="146">
        <v>1</v>
      </c>
      <c r="D263" s="146">
        <v>0</v>
      </c>
      <c r="E263" s="146"/>
      <c r="F263" s="146">
        <v>633</v>
      </c>
      <c r="G263" s="143" t="s">
        <v>134</v>
      </c>
      <c r="H263" s="146" t="s">
        <v>175</v>
      </c>
      <c r="I263" s="161">
        <v>341.68</v>
      </c>
      <c r="J263" s="161">
        <v>420.56</v>
      </c>
      <c r="K263" s="161">
        <v>500</v>
      </c>
      <c r="L263" s="161">
        <v>516.07000000000005</v>
      </c>
      <c r="M263" s="268">
        <v>0</v>
      </c>
      <c r="N263" s="172">
        <v>500</v>
      </c>
      <c r="O263" s="177">
        <f t="shared" si="37"/>
        <v>500</v>
      </c>
      <c r="P263" s="161">
        <v>500</v>
      </c>
      <c r="Q263" s="161">
        <v>500</v>
      </c>
      <c r="R263" s="119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</row>
    <row r="264" spans="2:28" ht="15.75" x14ac:dyDescent="0.25">
      <c r="B264" s="143" t="s">
        <v>193</v>
      </c>
      <c r="C264" s="146">
        <v>1</v>
      </c>
      <c r="D264" s="146">
        <v>0</v>
      </c>
      <c r="E264" s="146"/>
      <c r="F264" s="146">
        <v>635</v>
      </c>
      <c r="G264" s="143" t="s">
        <v>35</v>
      </c>
      <c r="H264" s="178" t="s">
        <v>170</v>
      </c>
      <c r="I264" s="161">
        <v>120</v>
      </c>
      <c r="J264" s="161">
        <v>260.16000000000003</v>
      </c>
      <c r="K264" s="161">
        <v>1500</v>
      </c>
      <c r="L264" s="161">
        <v>880</v>
      </c>
      <c r="M264" s="183">
        <v>0</v>
      </c>
      <c r="N264" s="172">
        <v>880</v>
      </c>
      <c r="O264" s="177">
        <f t="shared" si="37"/>
        <v>880</v>
      </c>
      <c r="P264" s="161">
        <v>880</v>
      </c>
      <c r="Q264" s="161">
        <v>0</v>
      </c>
      <c r="R264" s="119"/>
      <c r="S264" s="37"/>
      <c r="T264" s="302"/>
      <c r="U264" s="39"/>
      <c r="V264" s="39"/>
      <c r="W264" s="39"/>
      <c r="X264" s="39"/>
      <c r="Y264" s="302"/>
      <c r="Z264" s="39"/>
      <c r="AA264" s="37"/>
      <c r="AB264" s="37"/>
    </row>
    <row r="265" spans="2:28" ht="15.75" x14ac:dyDescent="0.25">
      <c r="B265" s="143" t="s">
        <v>193</v>
      </c>
      <c r="C265" s="146">
        <v>1</v>
      </c>
      <c r="D265" s="146">
        <v>0</v>
      </c>
      <c r="E265" s="146"/>
      <c r="F265" s="146">
        <v>637</v>
      </c>
      <c r="G265" s="143" t="s">
        <v>34</v>
      </c>
      <c r="H265" s="146" t="s">
        <v>111</v>
      </c>
      <c r="I265" s="161">
        <v>360</v>
      </c>
      <c r="J265" s="161">
        <v>180</v>
      </c>
      <c r="K265" s="161">
        <v>500</v>
      </c>
      <c r="L265" s="161">
        <v>0</v>
      </c>
      <c r="M265" s="183">
        <v>0</v>
      </c>
      <c r="N265" s="172">
        <v>300</v>
      </c>
      <c r="O265" s="177">
        <f t="shared" si="37"/>
        <v>300</v>
      </c>
      <c r="P265" s="161">
        <v>300</v>
      </c>
      <c r="Q265" s="161">
        <v>300</v>
      </c>
      <c r="R265" s="119"/>
    </row>
    <row r="266" spans="2:28" ht="15.75" x14ac:dyDescent="0.25">
      <c r="B266" s="143" t="s">
        <v>193</v>
      </c>
      <c r="C266" s="146">
        <v>1</v>
      </c>
      <c r="D266" s="146">
        <v>0</v>
      </c>
      <c r="E266" s="146"/>
      <c r="F266" s="146">
        <v>637</v>
      </c>
      <c r="G266" s="143" t="s">
        <v>38</v>
      </c>
      <c r="H266" s="146" t="s">
        <v>195</v>
      </c>
      <c r="I266" s="161">
        <v>1940</v>
      </c>
      <c r="J266" s="161">
        <v>2196</v>
      </c>
      <c r="K266" s="161">
        <v>2190</v>
      </c>
      <c r="L266" s="164">
        <v>2193.37</v>
      </c>
      <c r="M266" s="183">
        <v>0</v>
      </c>
      <c r="N266" s="172">
        <v>3096</v>
      </c>
      <c r="O266" s="177">
        <f t="shared" si="37"/>
        <v>3096</v>
      </c>
      <c r="P266" s="161">
        <v>3096</v>
      </c>
      <c r="Q266" s="161">
        <v>3096</v>
      </c>
      <c r="R266" s="119"/>
    </row>
    <row r="267" spans="2:28" ht="16.5" thickBot="1" x14ac:dyDescent="0.3">
      <c r="B267" s="144" t="s">
        <v>193</v>
      </c>
      <c r="C267" s="147">
        <v>1</v>
      </c>
      <c r="D267" s="147">
        <v>0</v>
      </c>
      <c r="E267" s="147"/>
      <c r="F267" s="147">
        <v>642</v>
      </c>
      <c r="G267" s="144" t="s">
        <v>31</v>
      </c>
      <c r="H267" s="147" t="s">
        <v>196</v>
      </c>
      <c r="I267" s="162">
        <v>3541.78</v>
      </c>
      <c r="J267" s="162">
        <v>8439.14</v>
      </c>
      <c r="K267" s="162">
        <v>9000</v>
      </c>
      <c r="L267" s="162">
        <v>10805.85</v>
      </c>
      <c r="M267" s="192">
        <v>0</v>
      </c>
      <c r="N267" s="193">
        <v>3000</v>
      </c>
      <c r="O267" s="214">
        <f t="shared" si="37"/>
        <v>3000</v>
      </c>
      <c r="P267" s="162">
        <v>3000</v>
      </c>
      <c r="Q267" s="162">
        <v>3000</v>
      </c>
      <c r="R267" s="119"/>
    </row>
    <row r="268" spans="2:28" ht="18.75" customHeight="1" thickBot="1" x14ac:dyDescent="0.35">
      <c r="B268" s="462" t="s">
        <v>194</v>
      </c>
      <c r="C268" s="463"/>
      <c r="D268" s="463"/>
      <c r="E268" s="463"/>
      <c r="F268" s="463"/>
      <c r="G268" s="463"/>
      <c r="H268" s="464"/>
      <c r="I268" s="101">
        <f>SUM(I253:I267)</f>
        <v>11885.65</v>
      </c>
      <c r="J268" s="171">
        <f>SUM(J253:J267)</f>
        <v>12667.009999999998</v>
      </c>
      <c r="K268" s="171">
        <f>SUM(K253:K267)</f>
        <v>20758</v>
      </c>
      <c r="L268" s="171">
        <f t="shared" ref="L268:Q268" si="38">SUM(L253:L267)</f>
        <v>20461.309999999998</v>
      </c>
      <c r="M268" s="78">
        <f t="shared" si="38"/>
        <v>0</v>
      </c>
      <c r="N268" s="78">
        <f t="shared" si="38"/>
        <v>15358.052</v>
      </c>
      <c r="O268" s="78">
        <f>SUM(O253:O267)</f>
        <v>15358.052</v>
      </c>
      <c r="P268" s="101">
        <f t="shared" si="38"/>
        <v>15367</v>
      </c>
      <c r="Q268" s="171">
        <f t="shared" si="38"/>
        <v>14487</v>
      </c>
      <c r="R268" s="119"/>
    </row>
    <row r="269" spans="2:28" ht="19.5" thickBot="1" x14ac:dyDescent="0.35">
      <c r="R269" s="119"/>
    </row>
    <row r="270" spans="2:28" ht="20.25" thickBot="1" x14ac:dyDescent="0.3">
      <c r="B270" s="399" t="s">
        <v>197</v>
      </c>
      <c r="C270" s="400"/>
      <c r="D270" s="400"/>
      <c r="E270" s="400"/>
      <c r="F270" s="400"/>
      <c r="G270" s="400"/>
      <c r="H270" s="400"/>
      <c r="I270" s="400"/>
      <c r="J270" s="400"/>
      <c r="K270" s="400"/>
      <c r="L270" s="400"/>
      <c r="M270" s="400"/>
      <c r="N270" s="400"/>
      <c r="O270" s="400"/>
      <c r="P270" s="400"/>
      <c r="Q270" s="401"/>
      <c r="R270" s="119"/>
    </row>
    <row r="271" spans="2:28" ht="16.5" thickBot="1" x14ac:dyDescent="0.3">
      <c r="B271" s="402" t="s">
        <v>64</v>
      </c>
      <c r="C271" s="402" t="s">
        <v>65</v>
      </c>
      <c r="D271" s="402" t="s">
        <v>66</v>
      </c>
      <c r="E271" s="402" t="s">
        <v>67</v>
      </c>
      <c r="F271" s="402" t="s">
        <v>24</v>
      </c>
      <c r="G271" s="405" t="s">
        <v>25</v>
      </c>
      <c r="H271" s="402" t="s">
        <v>22</v>
      </c>
      <c r="I271" s="397" t="s">
        <v>68</v>
      </c>
      <c r="J271" s="397" t="s">
        <v>303</v>
      </c>
      <c r="K271" s="397" t="s">
        <v>365</v>
      </c>
      <c r="L271" s="397" t="s">
        <v>364</v>
      </c>
      <c r="M271" s="409" t="s">
        <v>18</v>
      </c>
      <c r="N271" s="410"/>
      <c r="O271" s="411"/>
      <c r="P271" s="421" t="s">
        <v>0</v>
      </c>
      <c r="Q271" s="397" t="s">
        <v>294</v>
      </c>
      <c r="R271" s="119"/>
    </row>
    <row r="272" spans="2:28" ht="40.5" customHeight="1" thickBot="1" x14ac:dyDescent="0.3">
      <c r="B272" s="403"/>
      <c r="C272" s="403"/>
      <c r="D272" s="404"/>
      <c r="E272" s="404"/>
      <c r="F272" s="403"/>
      <c r="G272" s="406"/>
      <c r="H272" s="403"/>
      <c r="I272" s="407"/>
      <c r="J272" s="407"/>
      <c r="K272" s="398"/>
      <c r="L272" s="408"/>
      <c r="M272" s="72">
        <v>111</v>
      </c>
      <c r="N272" s="72">
        <v>41</v>
      </c>
      <c r="O272" s="73" t="s">
        <v>106</v>
      </c>
      <c r="P272" s="422"/>
      <c r="Q272" s="407"/>
      <c r="R272" s="119"/>
    </row>
    <row r="273" spans="2:18" ht="15.75" customHeight="1" thickBot="1" x14ac:dyDescent="0.3">
      <c r="B273" s="47" t="s">
        <v>70</v>
      </c>
      <c r="C273" s="47" t="s">
        <v>71</v>
      </c>
      <c r="D273" s="47" t="s">
        <v>72</v>
      </c>
      <c r="E273" s="47" t="s">
        <v>73</v>
      </c>
      <c r="F273" s="47" t="s">
        <v>74</v>
      </c>
      <c r="G273" s="54" t="s">
        <v>75</v>
      </c>
      <c r="H273" s="140" t="s">
        <v>76</v>
      </c>
      <c r="I273" s="57">
        <v>1</v>
      </c>
      <c r="J273" s="65">
        <v>2</v>
      </c>
      <c r="K273" s="54" t="s">
        <v>152</v>
      </c>
      <c r="L273" s="57" t="s">
        <v>366</v>
      </c>
      <c r="M273" s="76" t="s">
        <v>336</v>
      </c>
      <c r="N273" s="76" t="s">
        <v>337</v>
      </c>
      <c r="O273" s="76" t="s">
        <v>338</v>
      </c>
      <c r="P273" s="66" t="s">
        <v>339</v>
      </c>
      <c r="Q273" s="57" t="s">
        <v>340</v>
      </c>
      <c r="R273" s="119"/>
    </row>
    <row r="274" spans="2:18" ht="15.75" x14ac:dyDescent="0.25">
      <c r="B274" s="203" t="s">
        <v>193</v>
      </c>
      <c r="C274" s="204" t="s">
        <v>302</v>
      </c>
      <c r="D274" s="204" t="s">
        <v>310</v>
      </c>
      <c r="E274" s="203"/>
      <c r="F274" s="148">
        <v>625</v>
      </c>
      <c r="G274" s="203" t="s">
        <v>31</v>
      </c>
      <c r="H274" s="205" t="s">
        <v>353</v>
      </c>
      <c r="I274" s="266">
        <v>0</v>
      </c>
      <c r="J274" s="266">
        <v>137.08000000000001</v>
      </c>
      <c r="K274" s="266">
        <v>0</v>
      </c>
      <c r="L274" s="266">
        <v>0</v>
      </c>
      <c r="M274" s="267">
        <v>0</v>
      </c>
      <c r="N274" s="221">
        <v>0</v>
      </c>
      <c r="O274" s="270">
        <f t="shared" ref="O274:O286" si="39">M274+N274</f>
        <v>0</v>
      </c>
      <c r="P274" s="266">
        <v>0</v>
      </c>
      <c r="Q274" s="266">
        <v>0</v>
      </c>
      <c r="R274" s="119"/>
    </row>
    <row r="275" spans="2:18" ht="15.75" x14ac:dyDescent="0.25">
      <c r="B275" s="143" t="s">
        <v>193</v>
      </c>
      <c r="C275" s="146">
        <v>2</v>
      </c>
      <c r="D275" s="146">
        <v>0</v>
      </c>
      <c r="E275" s="217"/>
      <c r="F275" s="146">
        <v>625</v>
      </c>
      <c r="G275" s="143" t="s">
        <v>29</v>
      </c>
      <c r="H275" s="146" t="s">
        <v>323</v>
      </c>
      <c r="I275" s="220">
        <v>0</v>
      </c>
      <c r="J275" s="220">
        <v>7.78</v>
      </c>
      <c r="K275" s="220">
        <v>0</v>
      </c>
      <c r="L275" s="220">
        <v>0</v>
      </c>
      <c r="M275" s="267">
        <v>0</v>
      </c>
      <c r="N275" s="221">
        <v>0</v>
      </c>
      <c r="O275" s="270">
        <f t="shared" si="39"/>
        <v>0</v>
      </c>
      <c r="P275" s="220">
        <v>0</v>
      </c>
      <c r="Q275" s="220">
        <v>0</v>
      </c>
      <c r="R275" s="119"/>
    </row>
    <row r="276" spans="2:18" ht="15.75" x14ac:dyDescent="0.25">
      <c r="B276" s="143" t="s">
        <v>193</v>
      </c>
      <c r="C276" s="146">
        <v>2</v>
      </c>
      <c r="D276" s="146">
        <v>0</v>
      </c>
      <c r="E276" s="217"/>
      <c r="F276" s="146">
        <v>625</v>
      </c>
      <c r="G276" s="143" t="s">
        <v>108</v>
      </c>
      <c r="H276" s="146" t="s">
        <v>354</v>
      </c>
      <c r="I276" s="220">
        <v>0</v>
      </c>
      <c r="J276" s="220">
        <v>46.48</v>
      </c>
      <c r="K276" s="220">
        <v>0</v>
      </c>
      <c r="L276" s="220">
        <v>0</v>
      </c>
      <c r="M276" s="267">
        <v>0</v>
      </c>
      <c r="N276" s="221">
        <v>0</v>
      </c>
      <c r="O276" s="270">
        <f t="shared" si="39"/>
        <v>0</v>
      </c>
      <c r="P276" s="220">
        <v>0</v>
      </c>
      <c r="Q276" s="220">
        <v>0</v>
      </c>
      <c r="R276" s="119"/>
    </row>
    <row r="277" spans="2:18" ht="15.75" x14ac:dyDescent="0.25">
      <c r="B277" s="143" t="s">
        <v>193</v>
      </c>
      <c r="C277" s="146">
        <v>2</v>
      </c>
      <c r="D277" s="146">
        <v>0</v>
      </c>
      <c r="E277" s="146"/>
      <c r="F277" s="146">
        <v>632</v>
      </c>
      <c r="G277" s="143" t="s">
        <v>30</v>
      </c>
      <c r="H277" s="146" t="s">
        <v>83</v>
      </c>
      <c r="I277" s="161">
        <v>4272.1899999999996</v>
      </c>
      <c r="J277" s="161">
        <v>4966.93</v>
      </c>
      <c r="K277" s="161">
        <v>6000</v>
      </c>
      <c r="L277" s="161">
        <v>5009.38</v>
      </c>
      <c r="M277" s="268">
        <v>0</v>
      </c>
      <c r="N277" s="172">
        <v>7000</v>
      </c>
      <c r="O277" s="270">
        <f t="shared" si="39"/>
        <v>7000</v>
      </c>
      <c r="P277" s="161">
        <v>7000</v>
      </c>
      <c r="Q277" s="161">
        <v>7000</v>
      </c>
      <c r="R277" s="119"/>
    </row>
    <row r="278" spans="2:18" ht="15.75" x14ac:dyDescent="0.25">
      <c r="B278" s="143" t="s">
        <v>193</v>
      </c>
      <c r="C278" s="146">
        <v>2</v>
      </c>
      <c r="D278" s="146">
        <v>0</v>
      </c>
      <c r="E278" s="146"/>
      <c r="F278" s="146">
        <v>632</v>
      </c>
      <c r="G278" s="143" t="s">
        <v>31</v>
      </c>
      <c r="H278" s="146" t="s">
        <v>84</v>
      </c>
      <c r="I278" s="161">
        <v>321.44</v>
      </c>
      <c r="J278" s="161">
        <v>305.2</v>
      </c>
      <c r="K278" s="161">
        <v>400</v>
      </c>
      <c r="L278" s="161">
        <v>424.26</v>
      </c>
      <c r="M278" s="268">
        <v>0</v>
      </c>
      <c r="N278" s="172">
        <v>350</v>
      </c>
      <c r="O278" s="270">
        <f t="shared" si="39"/>
        <v>350</v>
      </c>
      <c r="P278" s="161">
        <v>350</v>
      </c>
      <c r="Q278" s="161">
        <v>350</v>
      </c>
      <c r="R278" s="119"/>
    </row>
    <row r="279" spans="2:18" ht="15.75" x14ac:dyDescent="0.25">
      <c r="B279" s="143" t="s">
        <v>193</v>
      </c>
      <c r="C279" s="146">
        <v>2</v>
      </c>
      <c r="D279" s="146">
        <v>0</v>
      </c>
      <c r="E279" s="146"/>
      <c r="F279" s="146">
        <v>633</v>
      </c>
      <c r="G279" s="143" t="s">
        <v>30</v>
      </c>
      <c r="H279" s="146" t="s">
        <v>313</v>
      </c>
      <c r="I279" s="161">
        <v>0</v>
      </c>
      <c r="J279" s="161">
        <v>0</v>
      </c>
      <c r="K279" s="161">
        <v>2000</v>
      </c>
      <c r="L279" s="161">
        <v>0</v>
      </c>
      <c r="M279" s="268">
        <v>0</v>
      </c>
      <c r="N279" s="172">
        <v>0</v>
      </c>
      <c r="O279" s="270">
        <f t="shared" si="39"/>
        <v>0</v>
      </c>
      <c r="P279" s="161">
        <v>0</v>
      </c>
      <c r="Q279" s="161">
        <v>0</v>
      </c>
      <c r="R279" s="119"/>
    </row>
    <row r="280" spans="2:18" ht="15.75" x14ac:dyDescent="0.25">
      <c r="B280" s="143" t="s">
        <v>193</v>
      </c>
      <c r="C280" s="146">
        <v>2</v>
      </c>
      <c r="D280" s="146">
        <v>0</v>
      </c>
      <c r="E280" s="146"/>
      <c r="F280" s="146">
        <v>633</v>
      </c>
      <c r="G280" s="143" t="s">
        <v>34</v>
      </c>
      <c r="H280" s="146" t="s">
        <v>312</v>
      </c>
      <c r="I280" s="161">
        <v>0</v>
      </c>
      <c r="J280" s="161">
        <v>0</v>
      </c>
      <c r="K280" s="161">
        <v>0</v>
      </c>
      <c r="L280" s="161">
        <v>193.4</v>
      </c>
      <c r="M280" s="268">
        <v>0</v>
      </c>
      <c r="N280" s="172">
        <v>0</v>
      </c>
      <c r="O280" s="270">
        <f t="shared" si="39"/>
        <v>0</v>
      </c>
      <c r="P280" s="161">
        <v>0</v>
      </c>
      <c r="Q280" s="161">
        <v>0</v>
      </c>
      <c r="R280" s="119"/>
    </row>
    <row r="281" spans="2:18" ht="15.75" x14ac:dyDescent="0.25">
      <c r="B281" s="143" t="s">
        <v>193</v>
      </c>
      <c r="C281" s="146">
        <v>2</v>
      </c>
      <c r="D281" s="146">
        <v>0</v>
      </c>
      <c r="E281" s="146"/>
      <c r="F281" s="146">
        <v>633</v>
      </c>
      <c r="G281" s="143" t="s">
        <v>35</v>
      </c>
      <c r="H281" s="146" t="s">
        <v>90</v>
      </c>
      <c r="I281" s="161">
        <v>138.68</v>
      </c>
      <c r="J281" s="161">
        <v>1779.04</v>
      </c>
      <c r="K281" s="161">
        <v>1500</v>
      </c>
      <c r="L281" s="161">
        <v>431.22</v>
      </c>
      <c r="M281" s="268">
        <v>0</v>
      </c>
      <c r="N281" s="172">
        <v>500</v>
      </c>
      <c r="O281" s="270">
        <f t="shared" si="39"/>
        <v>500</v>
      </c>
      <c r="P281" s="161">
        <v>500</v>
      </c>
      <c r="Q281" s="161">
        <v>500</v>
      </c>
      <c r="R281" s="119"/>
    </row>
    <row r="282" spans="2:18" ht="31.5" x14ac:dyDescent="0.25">
      <c r="B282" s="143" t="s">
        <v>193</v>
      </c>
      <c r="C282" s="146">
        <v>2</v>
      </c>
      <c r="D282" s="146">
        <v>0</v>
      </c>
      <c r="E282" s="146"/>
      <c r="F282" s="146">
        <v>635</v>
      </c>
      <c r="G282" s="143" t="s">
        <v>34</v>
      </c>
      <c r="H282" s="178" t="s">
        <v>102</v>
      </c>
      <c r="I282" s="161">
        <v>96</v>
      </c>
      <c r="J282" s="161">
        <v>0</v>
      </c>
      <c r="K282" s="161">
        <v>300</v>
      </c>
      <c r="L282" s="161">
        <v>0</v>
      </c>
      <c r="M282" s="268">
        <v>0</v>
      </c>
      <c r="N282" s="172">
        <v>300</v>
      </c>
      <c r="O282" s="270">
        <f t="shared" si="39"/>
        <v>300</v>
      </c>
      <c r="P282" s="161">
        <v>0</v>
      </c>
      <c r="Q282" s="161">
        <v>0</v>
      </c>
      <c r="R282" s="119"/>
    </row>
    <row r="283" spans="2:18" ht="15.75" x14ac:dyDescent="0.25">
      <c r="B283" s="143" t="s">
        <v>193</v>
      </c>
      <c r="C283" s="146">
        <v>2</v>
      </c>
      <c r="D283" s="146">
        <v>0</v>
      </c>
      <c r="E283" s="146"/>
      <c r="F283" s="146">
        <v>635</v>
      </c>
      <c r="G283" s="143" t="s">
        <v>35</v>
      </c>
      <c r="H283" s="178" t="s">
        <v>198</v>
      </c>
      <c r="I283" s="161">
        <v>9839.5400000000009</v>
      </c>
      <c r="J283" s="161">
        <v>100</v>
      </c>
      <c r="K283" s="161">
        <v>1500</v>
      </c>
      <c r="L283" s="161">
        <v>0</v>
      </c>
      <c r="M283" s="268">
        <v>0</v>
      </c>
      <c r="N283" s="172">
        <v>500</v>
      </c>
      <c r="O283" s="270">
        <f t="shared" si="39"/>
        <v>500</v>
      </c>
      <c r="P283" s="161">
        <v>200</v>
      </c>
      <c r="Q283" s="161">
        <v>200</v>
      </c>
      <c r="R283" s="119"/>
    </row>
    <row r="284" spans="2:18" ht="15.75" x14ac:dyDescent="0.25">
      <c r="B284" s="143" t="s">
        <v>193</v>
      </c>
      <c r="C284" s="146">
        <v>2</v>
      </c>
      <c r="D284" s="146">
        <v>0</v>
      </c>
      <c r="E284" s="146"/>
      <c r="F284" s="146">
        <v>637</v>
      </c>
      <c r="G284" s="143" t="s">
        <v>31</v>
      </c>
      <c r="H284" s="146" t="s">
        <v>199</v>
      </c>
      <c r="I284" s="161">
        <v>0</v>
      </c>
      <c r="J284" s="161">
        <v>0</v>
      </c>
      <c r="K284" s="161">
        <v>1500</v>
      </c>
      <c r="L284" s="161">
        <v>0</v>
      </c>
      <c r="M284" s="268">
        <v>0</v>
      </c>
      <c r="N284" s="172">
        <v>1000</v>
      </c>
      <c r="O284" s="270">
        <f t="shared" si="39"/>
        <v>1000</v>
      </c>
      <c r="P284" s="161">
        <v>1000</v>
      </c>
      <c r="Q284" s="161">
        <v>1000</v>
      </c>
      <c r="R284" s="119"/>
    </row>
    <row r="285" spans="2:18" ht="15.75" x14ac:dyDescent="0.25">
      <c r="B285" s="143" t="s">
        <v>193</v>
      </c>
      <c r="C285" s="146">
        <v>2</v>
      </c>
      <c r="D285" s="146">
        <v>0</v>
      </c>
      <c r="E285" s="146"/>
      <c r="F285" s="146">
        <v>637</v>
      </c>
      <c r="G285" s="143" t="s">
        <v>34</v>
      </c>
      <c r="H285" s="146" t="s">
        <v>111</v>
      </c>
      <c r="I285" s="161">
        <v>0</v>
      </c>
      <c r="J285" s="161">
        <v>146</v>
      </c>
      <c r="K285" s="161">
        <v>9000</v>
      </c>
      <c r="L285" s="161">
        <v>6346</v>
      </c>
      <c r="M285" s="268">
        <v>0</v>
      </c>
      <c r="N285" s="172">
        <v>9000</v>
      </c>
      <c r="O285" s="270">
        <f t="shared" si="39"/>
        <v>9000</v>
      </c>
      <c r="P285" s="161">
        <v>9000</v>
      </c>
      <c r="Q285" s="161">
        <v>9000</v>
      </c>
      <c r="R285" s="119"/>
    </row>
    <row r="286" spans="2:18" ht="15.75" x14ac:dyDescent="0.25">
      <c r="B286" s="207" t="s">
        <v>193</v>
      </c>
      <c r="C286" s="166">
        <v>2</v>
      </c>
      <c r="D286" s="166">
        <v>0</v>
      </c>
      <c r="E286" s="166"/>
      <c r="F286" s="166">
        <v>637</v>
      </c>
      <c r="G286" s="207" t="s">
        <v>126</v>
      </c>
      <c r="H286" s="166" t="s">
        <v>116</v>
      </c>
      <c r="I286" s="167">
        <v>0</v>
      </c>
      <c r="J286" s="167">
        <v>0</v>
      </c>
      <c r="K286" s="167">
        <v>0</v>
      </c>
      <c r="L286" s="167">
        <v>0</v>
      </c>
      <c r="M286" s="269">
        <v>0</v>
      </c>
      <c r="N286" s="173">
        <v>0</v>
      </c>
      <c r="O286" s="270">
        <f t="shared" si="39"/>
        <v>0</v>
      </c>
      <c r="P286" s="167">
        <v>0</v>
      </c>
      <c r="Q286" s="167">
        <v>0</v>
      </c>
      <c r="R286" s="119"/>
    </row>
    <row r="287" spans="2:18" ht="16.5" thickBot="1" x14ac:dyDescent="0.3">
      <c r="B287" s="207" t="s">
        <v>193</v>
      </c>
      <c r="C287" s="166">
        <v>2</v>
      </c>
      <c r="D287" s="166">
        <v>0</v>
      </c>
      <c r="E287" s="166"/>
      <c r="F287" s="166">
        <v>637</v>
      </c>
      <c r="G287" s="207" t="s">
        <v>38</v>
      </c>
      <c r="H287" s="166" t="s">
        <v>330</v>
      </c>
      <c r="I287" s="167">
        <v>0</v>
      </c>
      <c r="J287" s="167">
        <v>979.2</v>
      </c>
      <c r="K287" s="167">
        <v>0</v>
      </c>
      <c r="L287" s="338">
        <v>762.54</v>
      </c>
      <c r="M287" s="269">
        <v>0</v>
      </c>
      <c r="N287" s="173">
        <v>0</v>
      </c>
      <c r="O287" s="270">
        <f>M287+N287</f>
        <v>0</v>
      </c>
      <c r="P287" s="167">
        <v>0</v>
      </c>
      <c r="Q287" s="167">
        <v>0</v>
      </c>
      <c r="R287" s="119"/>
    </row>
    <row r="288" spans="2:18" ht="18.75" customHeight="1" thickBot="1" x14ac:dyDescent="0.35">
      <c r="B288" s="426" t="s">
        <v>200</v>
      </c>
      <c r="C288" s="427"/>
      <c r="D288" s="427"/>
      <c r="E288" s="427"/>
      <c r="F288" s="427"/>
      <c r="G288" s="427"/>
      <c r="H288" s="427"/>
      <c r="I288" s="40">
        <f>SUM(I277:I286)</f>
        <v>14667.85</v>
      </c>
      <c r="J288" s="40">
        <f>SUM(J274:J287)</f>
        <v>8467.7100000000009</v>
      </c>
      <c r="K288" s="40">
        <f>SUM(K274:K287)</f>
        <v>22200</v>
      </c>
      <c r="L288" s="40">
        <f>SUM(L277:L287)</f>
        <v>13166.8</v>
      </c>
      <c r="M288" s="77">
        <f>SUM(M277:M286)</f>
        <v>0</v>
      </c>
      <c r="N288" s="77">
        <f>SUM(N274:N287)</f>
        <v>18650</v>
      </c>
      <c r="O288" s="77">
        <f>SUM(O274:O287)</f>
        <v>18650</v>
      </c>
      <c r="P288" s="271">
        <f>SUM(P277:P287)</f>
        <v>18050</v>
      </c>
      <c r="Q288" s="40">
        <f>SUM(Q277:Q286)</f>
        <v>18050</v>
      </c>
      <c r="R288" s="119"/>
    </row>
    <row r="289" spans="2:18" ht="19.5" thickBot="1" x14ac:dyDescent="0.35">
      <c r="R289" s="119"/>
    </row>
    <row r="290" spans="2:18" ht="20.25" thickBot="1" x14ac:dyDescent="0.3">
      <c r="B290" s="399" t="s">
        <v>201</v>
      </c>
      <c r="C290" s="400"/>
      <c r="D290" s="400"/>
      <c r="E290" s="400"/>
      <c r="F290" s="400"/>
      <c r="G290" s="400"/>
      <c r="H290" s="400"/>
      <c r="I290" s="400"/>
      <c r="J290" s="400"/>
      <c r="K290" s="400"/>
      <c r="L290" s="400"/>
      <c r="M290" s="400"/>
      <c r="N290" s="400"/>
      <c r="O290" s="400"/>
      <c r="P290" s="400"/>
      <c r="Q290" s="401"/>
      <c r="R290" s="119"/>
    </row>
    <row r="291" spans="2:18" ht="16.5" customHeight="1" thickBot="1" x14ac:dyDescent="0.3">
      <c r="B291" s="402" t="s">
        <v>64</v>
      </c>
      <c r="C291" s="402" t="s">
        <v>65</v>
      </c>
      <c r="D291" s="402" t="s">
        <v>66</v>
      </c>
      <c r="E291" s="402" t="s">
        <v>67</v>
      </c>
      <c r="F291" s="402" t="s">
        <v>24</v>
      </c>
      <c r="G291" s="405" t="s">
        <v>25</v>
      </c>
      <c r="H291" s="402" t="s">
        <v>22</v>
      </c>
      <c r="I291" s="397" t="s">
        <v>68</v>
      </c>
      <c r="J291" s="397" t="s">
        <v>303</v>
      </c>
      <c r="K291" s="397" t="s">
        <v>365</v>
      </c>
      <c r="L291" s="397" t="s">
        <v>364</v>
      </c>
      <c r="M291" s="409" t="s">
        <v>18</v>
      </c>
      <c r="N291" s="410"/>
      <c r="O291" s="411"/>
      <c r="P291" s="421" t="s">
        <v>0</v>
      </c>
      <c r="Q291" s="397" t="s">
        <v>294</v>
      </c>
      <c r="R291" s="119"/>
    </row>
    <row r="292" spans="2:18" ht="31.5" customHeight="1" thickBot="1" x14ac:dyDescent="0.3">
      <c r="B292" s="403"/>
      <c r="C292" s="403"/>
      <c r="D292" s="404"/>
      <c r="E292" s="404"/>
      <c r="F292" s="403"/>
      <c r="G292" s="406"/>
      <c r="H292" s="403"/>
      <c r="I292" s="407"/>
      <c r="J292" s="407"/>
      <c r="K292" s="398"/>
      <c r="L292" s="408"/>
      <c r="M292" s="72">
        <v>111</v>
      </c>
      <c r="N292" s="72">
        <v>41</v>
      </c>
      <c r="O292" s="73" t="s">
        <v>106</v>
      </c>
      <c r="P292" s="422"/>
      <c r="Q292" s="407"/>
      <c r="R292" s="119"/>
    </row>
    <row r="293" spans="2:18" ht="16.5" thickBot="1" x14ac:dyDescent="0.3">
      <c r="B293" s="55" t="s">
        <v>70</v>
      </c>
      <c r="C293" s="55" t="s">
        <v>71</v>
      </c>
      <c r="D293" s="67" t="s">
        <v>72</v>
      </c>
      <c r="E293" s="55" t="s">
        <v>73</v>
      </c>
      <c r="F293" s="56" t="s">
        <v>74</v>
      </c>
      <c r="G293" s="57" t="s">
        <v>75</v>
      </c>
      <c r="H293" s="58" t="s">
        <v>76</v>
      </c>
      <c r="I293" s="57">
        <v>1</v>
      </c>
      <c r="J293" s="65">
        <v>2</v>
      </c>
      <c r="K293" s="54" t="s">
        <v>152</v>
      </c>
      <c r="L293" s="57" t="s">
        <v>366</v>
      </c>
      <c r="M293" s="74" t="s">
        <v>336</v>
      </c>
      <c r="N293" s="75" t="s">
        <v>337</v>
      </c>
      <c r="O293" s="75" t="s">
        <v>338</v>
      </c>
      <c r="P293" s="66" t="s">
        <v>339</v>
      </c>
      <c r="Q293" s="57" t="s">
        <v>340</v>
      </c>
      <c r="R293" s="119"/>
    </row>
    <row r="294" spans="2:18" ht="32.25" thickBot="1" x14ac:dyDescent="0.3">
      <c r="B294" s="70" t="s">
        <v>193</v>
      </c>
      <c r="C294" s="68">
        <v>4</v>
      </c>
      <c r="D294" s="68">
        <v>0</v>
      </c>
      <c r="E294" s="68"/>
      <c r="F294" s="68">
        <v>642</v>
      </c>
      <c r="G294" s="70" t="s">
        <v>30</v>
      </c>
      <c r="H294" s="71" t="s">
        <v>202</v>
      </c>
      <c r="I294" s="32">
        <v>700</v>
      </c>
      <c r="J294" s="32">
        <v>1524.6</v>
      </c>
      <c r="K294" s="32">
        <v>6000</v>
      </c>
      <c r="L294" s="32">
        <v>4140</v>
      </c>
      <c r="M294" s="82">
        <v>0</v>
      </c>
      <c r="N294" s="82">
        <v>6000</v>
      </c>
      <c r="O294" s="82">
        <f>N294+M294</f>
        <v>6000</v>
      </c>
      <c r="P294" s="32">
        <v>6000</v>
      </c>
      <c r="Q294" s="32">
        <v>6000</v>
      </c>
      <c r="R294" s="119"/>
    </row>
    <row r="295" spans="2:18" ht="19.5" thickBot="1" x14ac:dyDescent="0.35">
      <c r="B295" s="415" t="s">
        <v>203</v>
      </c>
      <c r="C295" s="416"/>
      <c r="D295" s="416"/>
      <c r="E295" s="416"/>
      <c r="F295" s="416"/>
      <c r="G295" s="416"/>
      <c r="H295" s="416"/>
      <c r="I295" s="40">
        <f>I294</f>
        <v>700</v>
      </c>
      <c r="J295" s="40">
        <f>J294</f>
        <v>1524.6</v>
      </c>
      <c r="K295" s="40">
        <f t="shared" ref="K295:Q295" si="40">K294</f>
        <v>6000</v>
      </c>
      <c r="L295" s="40">
        <f t="shared" si="40"/>
        <v>4140</v>
      </c>
      <c r="M295" s="83">
        <f t="shared" si="40"/>
        <v>0</v>
      </c>
      <c r="N295" s="77">
        <f t="shared" si="40"/>
        <v>6000</v>
      </c>
      <c r="O295" s="77">
        <f t="shared" si="40"/>
        <v>6000</v>
      </c>
      <c r="P295" s="40">
        <f t="shared" si="40"/>
        <v>6000</v>
      </c>
      <c r="Q295" s="40">
        <f t="shared" si="40"/>
        <v>6000</v>
      </c>
      <c r="R295" s="119"/>
    </row>
    <row r="296" spans="2:18" ht="19.5" thickBot="1" x14ac:dyDescent="0.35">
      <c r="R296" s="119"/>
    </row>
    <row r="297" spans="2:18" ht="20.25" thickBot="1" x14ac:dyDescent="0.3">
      <c r="B297" s="399" t="s">
        <v>204</v>
      </c>
      <c r="C297" s="400"/>
      <c r="D297" s="400"/>
      <c r="E297" s="400"/>
      <c r="F297" s="400"/>
      <c r="G297" s="400"/>
      <c r="H297" s="400"/>
      <c r="I297" s="400"/>
      <c r="J297" s="400"/>
      <c r="K297" s="400"/>
      <c r="L297" s="400"/>
      <c r="M297" s="400"/>
      <c r="N297" s="400"/>
      <c r="O297" s="400"/>
      <c r="P297" s="400"/>
      <c r="Q297" s="401"/>
      <c r="R297" s="119"/>
    </row>
    <row r="298" spans="2:18" ht="16.5" customHeight="1" thickBot="1" x14ac:dyDescent="0.3">
      <c r="B298" s="433" t="s">
        <v>64</v>
      </c>
      <c r="C298" s="433" t="s">
        <v>65</v>
      </c>
      <c r="D298" s="433" t="s">
        <v>66</v>
      </c>
      <c r="E298" s="433" t="s">
        <v>67</v>
      </c>
      <c r="F298" s="433" t="s">
        <v>24</v>
      </c>
      <c r="G298" s="435" t="s">
        <v>25</v>
      </c>
      <c r="H298" s="433" t="s">
        <v>22</v>
      </c>
      <c r="I298" s="397" t="s">
        <v>68</v>
      </c>
      <c r="J298" s="397" t="s">
        <v>303</v>
      </c>
      <c r="K298" s="397" t="s">
        <v>365</v>
      </c>
      <c r="L298" s="397" t="s">
        <v>364</v>
      </c>
      <c r="M298" s="409" t="s">
        <v>18</v>
      </c>
      <c r="N298" s="410"/>
      <c r="O298" s="411"/>
      <c r="P298" s="421" t="s">
        <v>0</v>
      </c>
      <c r="Q298" s="397" t="s">
        <v>294</v>
      </c>
      <c r="R298" s="119"/>
    </row>
    <row r="299" spans="2:18" ht="36" customHeight="1" thickBot="1" x14ac:dyDescent="0.3">
      <c r="B299" s="443"/>
      <c r="C299" s="443"/>
      <c r="D299" s="434"/>
      <c r="E299" s="434"/>
      <c r="F299" s="443"/>
      <c r="G299" s="436"/>
      <c r="H299" s="443"/>
      <c r="I299" s="407"/>
      <c r="J299" s="407"/>
      <c r="K299" s="398"/>
      <c r="L299" s="408"/>
      <c r="M299" s="72">
        <v>111</v>
      </c>
      <c r="N299" s="72">
        <v>41</v>
      </c>
      <c r="O299" s="73" t="s">
        <v>106</v>
      </c>
      <c r="P299" s="422"/>
      <c r="Q299" s="407"/>
      <c r="R299" s="119"/>
    </row>
    <row r="300" spans="2:18" ht="16.5" thickBot="1" x14ac:dyDescent="0.3">
      <c r="B300" s="233" t="s">
        <v>70</v>
      </c>
      <c r="C300" s="233" t="s">
        <v>71</v>
      </c>
      <c r="D300" s="234" t="s">
        <v>72</v>
      </c>
      <c r="E300" s="233" t="s">
        <v>73</v>
      </c>
      <c r="F300" s="235" t="s">
        <v>74</v>
      </c>
      <c r="G300" s="237" t="s">
        <v>75</v>
      </c>
      <c r="H300" s="235" t="s">
        <v>76</v>
      </c>
      <c r="I300" s="231">
        <v>1</v>
      </c>
      <c r="J300" s="236">
        <v>2</v>
      </c>
      <c r="K300" s="54" t="s">
        <v>152</v>
      </c>
      <c r="L300" s="231" t="s">
        <v>366</v>
      </c>
      <c r="M300" s="74" t="s">
        <v>336</v>
      </c>
      <c r="N300" s="75" t="s">
        <v>337</v>
      </c>
      <c r="O300" s="75" t="s">
        <v>338</v>
      </c>
      <c r="P300" s="230" t="s">
        <v>339</v>
      </c>
      <c r="Q300" s="231" t="s">
        <v>340</v>
      </c>
      <c r="R300" s="119"/>
    </row>
    <row r="301" spans="2:18" ht="15.75" x14ac:dyDescent="0.25">
      <c r="B301" s="247" t="s">
        <v>193</v>
      </c>
      <c r="C301" s="241">
        <v>6</v>
      </c>
      <c r="D301" s="241">
        <v>0</v>
      </c>
      <c r="E301" s="241"/>
      <c r="F301" s="241">
        <v>625</v>
      </c>
      <c r="G301" s="248" t="s">
        <v>30</v>
      </c>
      <c r="H301" s="241" t="s">
        <v>321</v>
      </c>
      <c r="I301" s="238">
        <v>0</v>
      </c>
      <c r="J301" s="238">
        <v>0</v>
      </c>
      <c r="K301" s="238">
        <v>170</v>
      </c>
      <c r="L301" s="163">
        <v>0</v>
      </c>
      <c r="M301" s="189">
        <v>0</v>
      </c>
      <c r="N301" s="190">
        <v>15.231999999999999</v>
      </c>
      <c r="O301" s="191">
        <f t="shared" ref="O301:O310" si="41">N301+M301</f>
        <v>15.231999999999999</v>
      </c>
      <c r="P301" s="238">
        <v>20</v>
      </c>
      <c r="Q301" s="238">
        <v>20</v>
      </c>
      <c r="R301" s="119"/>
    </row>
    <row r="302" spans="2:18" ht="15.75" x14ac:dyDescent="0.25">
      <c r="B302" s="245" t="s">
        <v>193</v>
      </c>
      <c r="C302" s="242">
        <v>6</v>
      </c>
      <c r="D302" s="242">
        <v>0</v>
      </c>
      <c r="E302" s="242"/>
      <c r="F302" s="242">
        <v>625</v>
      </c>
      <c r="G302" s="245" t="s">
        <v>31</v>
      </c>
      <c r="H302" s="242" t="s">
        <v>353</v>
      </c>
      <c r="I302" s="239">
        <v>116.64</v>
      </c>
      <c r="J302" s="239">
        <v>0</v>
      </c>
      <c r="K302" s="239">
        <v>0</v>
      </c>
      <c r="L302" s="164">
        <v>139.44</v>
      </c>
      <c r="M302" s="183">
        <v>0</v>
      </c>
      <c r="N302" s="172">
        <v>152.32</v>
      </c>
      <c r="O302" s="184">
        <f t="shared" si="41"/>
        <v>152.32</v>
      </c>
      <c r="P302" s="239">
        <v>155</v>
      </c>
      <c r="Q302" s="239">
        <v>155</v>
      </c>
      <c r="R302" s="119"/>
    </row>
    <row r="303" spans="2:18" ht="15.75" x14ac:dyDescent="0.25">
      <c r="B303" s="245" t="s">
        <v>193</v>
      </c>
      <c r="C303" s="242">
        <v>6</v>
      </c>
      <c r="D303" s="242">
        <v>0</v>
      </c>
      <c r="E303" s="242"/>
      <c r="F303" s="242">
        <v>625</v>
      </c>
      <c r="G303" s="245" t="s">
        <v>29</v>
      </c>
      <c r="H303" s="242" t="s">
        <v>355</v>
      </c>
      <c r="I303" s="239">
        <v>6.63</v>
      </c>
      <c r="J303" s="239">
        <v>0</v>
      </c>
      <c r="K303" s="239">
        <v>0</v>
      </c>
      <c r="L303" s="164">
        <v>7.92</v>
      </c>
      <c r="M303" s="183">
        <v>0</v>
      </c>
      <c r="N303" s="172">
        <v>87.04</v>
      </c>
      <c r="O303" s="184">
        <f t="shared" si="41"/>
        <v>87.04</v>
      </c>
      <c r="P303" s="239">
        <v>90</v>
      </c>
      <c r="Q303" s="239">
        <v>90</v>
      </c>
      <c r="R303" s="119"/>
    </row>
    <row r="304" spans="2:18" ht="15.75" x14ac:dyDescent="0.25">
      <c r="B304" s="245" t="s">
        <v>193</v>
      </c>
      <c r="C304" s="242">
        <v>6</v>
      </c>
      <c r="D304" s="242">
        <v>0</v>
      </c>
      <c r="E304" s="242"/>
      <c r="F304" s="242">
        <v>625</v>
      </c>
      <c r="G304" s="245" t="s">
        <v>108</v>
      </c>
      <c r="H304" s="242" t="s">
        <v>354</v>
      </c>
      <c r="I304" s="239">
        <v>39.5</v>
      </c>
      <c r="J304" s="239">
        <v>0</v>
      </c>
      <c r="K304" s="239">
        <v>0</v>
      </c>
      <c r="L304" s="164">
        <v>47.334000000000003</v>
      </c>
      <c r="M304" s="183">
        <v>0</v>
      </c>
      <c r="N304" s="172">
        <v>51.68</v>
      </c>
      <c r="O304" s="184">
        <f t="shared" si="41"/>
        <v>51.68</v>
      </c>
      <c r="P304" s="239">
        <v>55</v>
      </c>
      <c r="Q304" s="239">
        <v>55</v>
      </c>
      <c r="R304" s="119"/>
    </row>
    <row r="305" spans="2:19" ht="15.75" x14ac:dyDescent="0.25">
      <c r="B305" s="245" t="s">
        <v>193</v>
      </c>
      <c r="C305" s="242">
        <v>6</v>
      </c>
      <c r="D305" s="242">
        <v>0</v>
      </c>
      <c r="E305" s="242"/>
      <c r="F305" s="242">
        <v>632</v>
      </c>
      <c r="G305" s="245" t="s">
        <v>30</v>
      </c>
      <c r="H305" s="242" t="s">
        <v>83</v>
      </c>
      <c r="I305" s="239">
        <v>0</v>
      </c>
      <c r="J305" s="239">
        <v>0</v>
      </c>
      <c r="K305" s="239">
        <v>0</v>
      </c>
      <c r="L305" s="239">
        <v>975</v>
      </c>
      <c r="M305" s="183">
        <v>0</v>
      </c>
      <c r="N305" s="172">
        <v>6000</v>
      </c>
      <c r="O305" s="184">
        <f t="shared" si="41"/>
        <v>6000</v>
      </c>
      <c r="P305" s="239">
        <v>6000</v>
      </c>
      <c r="Q305" s="239">
        <v>6000</v>
      </c>
      <c r="R305" s="119"/>
    </row>
    <row r="306" spans="2:19" ht="15.75" x14ac:dyDescent="0.25">
      <c r="B306" s="245"/>
      <c r="C306" s="242"/>
      <c r="D306" s="242"/>
      <c r="E306" s="242"/>
      <c r="F306" s="146">
        <v>633</v>
      </c>
      <c r="G306" s="143" t="s">
        <v>30</v>
      </c>
      <c r="H306" s="146" t="s">
        <v>313</v>
      </c>
      <c r="I306" s="239">
        <v>0</v>
      </c>
      <c r="J306" s="239">
        <v>0</v>
      </c>
      <c r="K306" s="239">
        <v>0</v>
      </c>
      <c r="L306" s="239">
        <v>0</v>
      </c>
      <c r="M306" s="183">
        <v>0</v>
      </c>
      <c r="N306" s="172">
        <v>400</v>
      </c>
      <c r="O306" s="184">
        <f t="shared" si="41"/>
        <v>400</v>
      </c>
      <c r="P306" s="239">
        <v>400</v>
      </c>
      <c r="Q306" s="239">
        <v>400</v>
      </c>
      <c r="R306" s="119"/>
    </row>
    <row r="307" spans="2:19" ht="15.75" x14ac:dyDescent="0.25">
      <c r="B307" s="245" t="s">
        <v>193</v>
      </c>
      <c r="C307" s="242">
        <v>6</v>
      </c>
      <c r="D307" s="242">
        <v>0</v>
      </c>
      <c r="E307" s="242"/>
      <c r="F307" s="242">
        <v>633</v>
      </c>
      <c r="G307" s="245" t="s">
        <v>35</v>
      </c>
      <c r="H307" s="242" t="s">
        <v>90</v>
      </c>
      <c r="I307" s="239">
        <v>0</v>
      </c>
      <c r="J307" s="239">
        <v>264.04000000000002</v>
      </c>
      <c r="K307" s="239">
        <v>0</v>
      </c>
      <c r="L307" s="239">
        <v>0</v>
      </c>
      <c r="M307" s="183">
        <v>0</v>
      </c>
      <c r="N307" s="172">
        <v>20</v>
      </c>
      <c r="O307" s="184">
        <f t="shared" si="41"/>
        <v>20</v>
      </c>
      <c r="P307" s="239">
        <v>20</v>
      </c>
      <c r="Q307" s="239">
        <v>20</v>
      </c>
      <c r="R307" s="119"/>
    </row>
    <row r="308" spans="2:19" ht="31.5" x14ac:dyDescent="0.25">
      <c r="B308" s="245" t="s">
        <v>193</v>
      </c>
      <c r="C308" s="242">
        <v>6</v>
      </c>
      <c r="D308" s="242">
        <v>0</v>
      </c>
      <c r="E308" s="242"/>
      <c r="F308" s="242">
        <v>633</v>
      </c>
      <c r="G308" s="245" t="s">
        <v>124</v>
      </c>
      <c r="H308" s="243" t="s">
        <v>206</v>
      </c>
      <c r="I308" s="239">
        <v>504.53</v>
      </c>
      <c r="J308" s="239">
        <v>512.77</v>
      </c>
      <c r="K308" s="239">
        <v>500</v>
      </c>
      <c r="L308" s="239">
        <v>338</v>
      </c>
      <c r="M308" s="183">
        <v>0</v>
      </c>
      <c r="N308" s="172">
        <v>400</v>
      </c>
      <c r="O308" s="184">
        <f t="shared" si="41"/>
        <v>400</v>
      </c>
      <c r="P308" s="239">
        <v>400</v>
      </c>
      <c r="Q308" s="239">
        <v>400</v>
      </c>
      <c r="R308" s="119"/>
    </row>
    <row r="309" spans="2:19" ht="15.75" x14ac:dyDescent="0.25">
      <c r="B309" s="245" t="s">
        <v>193</v>
      </c>
      <c r="C309" s="242">
        <v>6</v>
      </c>
      <c r="D309" s="242">
        <v>0</v>
      </c>
      <c r="E309" s="242"/>
      <c r="F309" s="242">
        <v>635</v>
      </c>
      <c r="G309" s="245" t="s">
        <v>35</v>
      </c>
      <c r="H309" s="243" t="s">
        <v>207</v>
      </c>
      <c r="I309" s="239">
        <v>0</v>
      </c>
      <c r="J309" s="239">
        <v>0</v>
      </c>
      <c r="K309" s="239">
        <v>500</v>
      </c>
      <c r="L309" s="239">
        <v>0</v>
      </c>
      <c r="M309" s="183">
        <v>0</v>
      </c>
      <c r="N309" s="172">
        <v>200</v>
      </c>
      <c r="O309" s="184">
        <f t="shared" si="41"/>
        <v>200</v>
      </c>
      <c r="P309" s="239">
        <v>200</v>
      </c>
      <c r="Q309" s="239">
        <v>200</v>
      </c>
      <c r="R309" s="119"/>
    </row>
    <row r="310" spans="2:19" ht="16.5" thickBot="1" x14ac:dyDescent="0.3">
      <c r="B310" s="246" t="s">
        <v>193</v>
      </c>
      <c r="C310" s="244">
        <v>6</v>
      </c>
      <c r="D310" s="244">
        <v>0</v>
      </c>
      <c r="E310" s="244"/>
      <c r="F310" s="244">
        <v>637</v>
      </c>
      <c r="G310" s="246" t="s">
        <v>38</v>
      </c>
      <c r="H310" s="244" t="s">
        <v>208</v>
      </c>
      <c r="I310" s="240">
        <v>832.6</v>
      </c>
      <c r="J310" s="240">
        <v>0</v>
      </c>
      <c r="K310" s="240">
        <v>832</v>
      </c>
      <c r="L310" s="240">
        <v>323.14</v>
      </c>
      <c r="M310" s="192">
        <v>0</v>
      </c>
      <c r="N310" s="193">
        <v>1088</v>
      </c>
      <c r="O310" s="184">
        <f t="shared" si="41"/>
        <v>1088</v>
      </c>
      <c r="P310" s="240">
        <v>1088</v>
      </c>
      <c r="Q310" s="240">
        <v>1088</v>
      </c>
      <c r="R310" s="119"/>
    </row>
    <row r="311" spans="2:19" ht="19.5" thickBot="1" x14ac:dyDescent="0.35">
      <c r="B311" s="430" t="s">
        <v>205</v>
      </c>
      <c r="C311" s="431"/>
      <c r="D311" s="431"/>
      <c r="E311" s="431"/>
      <c r="F311" s="431"/>
      <c r="G311" s="431"/>
      <c r="H311" s="432"/>
      <c r="I311" s="232">
        <f t="shared" ref="I311:Q311" si="42">SUM(I301:I310)</f>
        <v>1499.9</v>
      </c>
      <c r="J311" s="232">
        <f>SUM(J301:J310)</f>
        <v>776.81</v>
      </c>
      <c r="K311" s="232">
        <f>SUM(K301:K310)</f>
        <v>2002</v>
      </c>
      <c r="L311" s="232">
        <f t="shared" si="42"/>
        <v>1830.8339999999998</v>
      </c>
      <c r="M311" s="77">
        <f t="shared" si="42"/>
        <v>0</v>
      </c>
      <c r="N311" s="77">
        <f>SUM(N301:N310)</f>
        <v>8414.2720000000008</v>
      </c>
      <c r="O311" s="77">
        <f>SUM(O301:O310)</f>
        <v>8414.2720000000008</v>
      </c>
      <c r="P311" s="232">
        <f t="shared" si="42"/>
        <v>8428</v>
      </c>
      <c r="Q311" s="232">
        <f t="shared" si="42"/>
        <v>8428</v>
      </c>
      <c r="R311" s="119"/>
    </row>
    <row r="312" spans="2:19" ht="18.75" customHeight="1" thickBot="1" x14ac:dyDescent="0.35">
      <c r="R312" s="119"/>
    </row>
    <row r="313" spans="2:19" ht="20.25" thickBot="1" x14ac:dyDescent="0.3">
      <c r="B313" s="399" t="s">
        <v>209</v>
      </c>
      <c r="C313" s="400"/>
      <c r="D313" s="400"/>
      <c r="E313" s="400"/>
      <c r="F313" s="400"/>
      <c r="G313" s="400"/>
      <c r="H313" s="400"/>
      <c r="I313" s="400"/>
      <c r="J313" s="400"/>
      <c r="K313" s="400"/>
      <c r="L313" s="400"/>
      <c r="M313" s="400"/>
      <c r="N313" s="400"/>
      <c r="O313" s="400"/>
      <c r="P313" s="400"/>
      <c r="Q313" s="401"/>
      <c r="R313" s="376"/>
      <c r="S313" s="37"/>
    </row>
    <row r="314" spans="2:19" ht="16.5" thickBot="1" x14ac:dyDescent="0.3">
      <c r="B314" s="433" t="s">
        <v>64</v>
      </c>
      <c r="C314" s="433" t="s">
        <v>65</v>
      </c>
      <c r="D314" s="433" t="s">
        <v>66</v>
      </c>
      <c r="E314" s="433" t="s">
        <v>67</v>
      </c>
      <c r="F314" s="433" t="s">
        <v>24</v>
      </c>
      <c r="G314" s="435" t="s">
        <v>25</v>
      </c>
      <c r="H314" s="433" t="s">
        <v>22</v>
      </c>
      <c r="I314" s="437" t="s">
        <v>68</v>
      </c>
      <c r="J314" s="437" t="s">
        <v>303</v>
      </c>
      <c r="K314" s="397" t="s">
        <v>365</v>
      </c>
      <c r="L314" s="397" t="s">
        <v>364</v>
      </c>
      <c r="M314" s="409" t="s">
        <v>18</v>
      </c>
      <c r="N314" s="410"/>
      <c r="O314" s="411"/>
      <c r="P314" s="437" t="s">
        <v>0</v>
      </c>
      <c r="Q314" s="437" t="s">
        <v>294</v>
      </c>
      <c r="R314" s="429"/>
      <c r="S314" s="37"/>
    </row>
    <row r="315" spans="2:19" ht="34.5" customHeight="1" thickBot="1" x14ac:dyDescent="0.3">
      <c r="B315" s="434"/>
      <c r="C315" s="434"/>
      <c r="D315" s="434"/>
      <c r="E315" s="434"/>
      <c r="F315" s="434"/>
      <c r="G315" s="436"/>
      <c r="H315" s="434"/>
      <c r="I315" s="438"/>
      <c r="J315" s="438"/>
      <c r="K315" s="398"/>
      <c r="L315" s="408"/>
      <c r="M315" s="72">
        <v>111</v>
      </c>
      <c r="N315" s="72">
        <v>41</v>
      </c>
      <c r="O315" s="73" t="s">
        <v>106</v>
      </c>
      <c r="P315" s="439"/>
      <c r="Q315" s="440"/>
      <c r="R315" s="429"/>
      <c r="S315" s="37"/>
    </row>
    <row r="316" spans="2:19" ht="16.5" thickBot="1" x14ac:dyDescent="0.3">
      <c r="B316" s="250" t="s">
        <v>70</v>
      </c>
      <c r="C316" s="250" t="s">
        <v>71</v>
      </c>
      <c r="D316" s="250" t="s">
        <v>72</v>
      </c>
      <c r="E316" s="250" t="s">
        <v>73</v>
      </c>
      <c r="F316" s="250" t="s">
        <v>74</v>
      </c>
      <c r="G316" s="237" t="s">
        <v>75</v>
      </c>
      <c r="H316" s="250" t="s">
        <v>76</v>
      </c>
      <c r="I316" s="237">
        <v>1</v>
      </c>
      <c r="J316" s="237">
        <v>2</v>
      </c>
      <c r="K316" s="54" t="s">
        <v>152</v>
      </c>
      <c r="L316" s="237" t="s">
        <v>366</v>
      </c>
      <c r="M316" s="76" t="s">
        <v>336</v>
      </c>
      <c r="N316" s="75" t="s">
        <v>337</v>
      </c>
      <c r="O316" s="76" t="s">
        <v>338</v>
      </c>
      <c r="P316" s="230" t="s">
        <v>339</v>
      </c>
      <c r="Q316" s="231" t="s">
        <v>340</v>
      </c>
      <c r="R316" s="119"/>
    </row>
    <row r="317" spans="2:19" ht="16.5" thickBot="1" x14ac:dyDescent="0.3">
      <c r="B317" s="288" t="s">
        <v>193</v>
      </c>
      <c r="C317" s="289">
        <v>6</v>
      </c>
      <c r="D317" s="289">
        <v>0</v>
      </c>
      <c r="E317" s="290"/>
      <c r="F317" s="289">
        <v>632</v>
      </c>
      <c r="G317" s="288" t="s">
        <v>30</v>
      </c>
      <c r="H317" s="288" t="s">
        <v>83</v>
      </c>
      <c r="I317" s="287">
        <v>0</v>
      </c>
      <c r="J317" s="287">
        <v>0</v>
      </c>
      <c r="K317" s="287">
        <v>0</v>
      </c>
      <c r="L317" s="380">
        <v>0</v>
      </c>
      <c r="M317" s="221">
        <v>0</v>
      </c>
      <c r="N317" s="291">
        <v>0</v>
      </c>
      <c r="O317" s="184">
        <f t="shared" ref="O317:O318" si="43">N317+M317</f>
        <v>0</v>
      </c>
      <c r="P317" s="303">
        <v>0</v>
      </c>
      <c r="Q317" s="308">
        <v>0</v>
      </c>
      <c r="R317" s="119"/>
    </row>
    <row r="318" spans="2:19" ht="15.75" x14ac:dyDescent="0.25">
      <c r="B318" s="248" t="s">
        <v>193</v>
      </c>
      <c r="C318" s="249">
        <v>6</v>
      </c>
      <c r="D318" s="249">
        <v>0</v>
      </c>
      <c r="E318" s="249"/>
      <c r="F318" s="249">
        <v>633</v>
      </c>
      <c r="G318" s="248" t="s">
        <v>30</v>
      </c>
      <c r="H318" s="249" t="s">
        <v>87</v>
      </c>
      <c r="I318" s="287">
        <v>0</v>
      </c>
      <c r="J318" s="287">
        <v>0</v>
      </c>
      <c r="K318" s="287">
        <v>0</v>
      </c>
      <c r="L318" s="380">
        <v>0</v>
      </c>
      <c r="M318" s="383">
        <v>0</v>
      </c>
      <c r="N318" s="174">
        <v>0</v>
      </c>
      <c r="O318" s="184">
        <f t="shared" si="43"/>
        <v>0</v>
      </c>
      <c r="P318" s="287">
        <v>0</v>
      </c>
      <c r="Q318" s="287">
        <v>0</v>
      </c>
      <c r="R318" s="119"/>
    </row>
    <row r="319" spans="2:19" ht="15.75" x14ac:dyDescent="0.25">
      <c r="B319" s="245" t="s">
        <v>193</v>
      </c>
      <c r="C319" s="242">
        <v>6</v>
      </c>
      <c r="D319" s="242">
        <v>0</v>
      </c>
      <c r="E319" s="242"/>
      <c r="F319" s="242">
        <v>633</v>
      </c>
      <c r="G319" s="245" t="s">
        <v>35</v>
      </c>
      <c r="H319" s="242" t="s">
        <v>210</v>
      </c>
      <c r="I319" s="239">
        <v>0</v>
      </c>
      <c r="J319" s="239">
        <v>0</v>
      </c>
      <c r="K319" s="239">
        <v>800</v>
      </c>
      <c r="L319" s="381">
        <v>113.51</v>
      </c>
      <c r="M319" s="383">
        <v>0</v>
      </c>
      <c r="N319" s="172">
        <v>500</v>
      </c>
      <c r="O319" s="184">
        <f>N319+M319</f>
        <v>500</v>
      </c>
      <c r="P319" s="239">
        <v>500</v>
      </c>
      <c r="Q319" s="239">
        <v>500</v>
      </c>
      <c r="R319" s="119"/>
    </row>
    <row r="320" spans="2:19" ht="16.5" thickBot="1" x14ac:dyDescent="0.3">
      <c r="B320" s="251" t="s">
        <v>193</v>
      </c>
      <c r="C320" s="252">
        <v>6</v>
      </c>
      <c r="D320" s="252">
        <v>0</v>
      </c>
      <c r="E320" s="252"/>
      <c r="F320" s="252">
        <v>637</v>
      </c>
      <c r="G320" s="251" t="s">
        <v>38</v>
      </c>
      <c r="H320" s="252" t="s">
        <v>162</v>
      </c>
      <c r="I320" s="253">
        <v>0</v>
      </c>
      <c r="J320" s="253">
        <v>0</v>
      </c>
      <c r="K320" s="253">
        <v>500</v>
      </c>
      <c r="L320" s="382">
        <v>0</v>
      </c>
      <c r="M320" s="384">
        <v>0</v>
      </c>
      <c r="N320" s="173">
        <v>500</v>
      </c>
      <c r="O320" s="186">
        <f>N320+M320</f>
        <v>500</v>
      </c>
      <c r="P320" s="253">
        <v>500</v>
      </c>
      <c r="Q320" s="253">
        <v>500</v>
      </c>
      <c r="R320" s="119"/>
    </row>
    <row r="321" spans="2:19" ht="19.5" thickBot="1" x14ac:dyDescent="0.35">
      <c r="B321" s="430" t="s">
        <v>205</v>
      </c>
      <c r="C321" s="441"/>
      <c r="D321" s="441"/>
      <c r="E321" s="441"/>
      <c r="F321" s="441"/>
      <c r="G321" s="441"/>
      <c r="H321" s="441"/>
      <c r="I321" s="232">
        <f t="shared" ref="I321:J321" si="44">SUM(I317:I320)</f>
        <v>0</v>
      </c>
      <c r="J321" s="232">
        <f t="shared" si="44"/>
        <v>0</v>
      </c>
      <c r="K321" s="232">
        <f>SUM(K317:K320)</f>
        <v>1300</v>
      </c>
      <c r="L321" s="232">
        <f>SUM(L317:L320)</f>
        <v>113.51</v>
      </c>
      <c r="M321" s="77">
        <f>SUM(M317:M320)</f>
        <v>0</v>
      </c>
      <c r="N321" s="77">
        <f t="shared" ref="N321:O321" si="45">SUM(N317:N320)</f>
        <v>1000</v>
      </c>
      <c r="O321" s="77">
        <f t="shared" si="45"/>
        <v>1000</v>
      </c>
      <c r="P321" s="232">
        <f>SUM(P317:P320)</f>
        <v>1000</v>
      </c>
      <c r="Q321" s="232">
        <f>SUM(Q317:Q320)</f>
        <v>1000</v>
      </c>
      <c r="R321" s="119"/>
    </row>
    <row r="322" spans="2:19" ht="19.5" customHeight="1" thickBot="1" x14ac:dyDescent="0.35">
      <c r="R322" s="119"/>
    </row>
    <row r="323" spans="2:19" ht="18.75" customHeight="1" thickBot="1" x14ac:dyDescent="0.35">
      <c r="B323" s="417" t="s">
        <v>211</v>
      </c>
      <c r="C323" s="418"/>
      <c r="D323" s="418"/>
      <c r="E323" s="418"/>
      <c r="F323" s="418"/>
      <c r="G323" s="418"/>
      <c r="H323" s="442"/>
      <c r="I323" s="77">
        <f>I321+I311</f>
        <v>1499.9</v>
      </c>
      <c r="J323" s="77">
        <f>J321+J311</f>
        <v>776.81</v>
      </c>
      <c r="K323" s="77">
        <f>K321+K311</f>
        <v>3302</v>
      </c>
      <c r="L323" s="77">
        <f t="shared" ref="L323:Q323" si="46">L321+L311</f>
        <v>1944.3439999999998</v>
      </c>
      <c r="M323" s="77">
        <f t="shared" si="46"/>
        <v>0</v>
      </c>
      <c r="N323" s="77">
        <f t="shared" si="46"/>
        <v>9414.2720000000008</v>
      </c>
      <c r="O323" s="77">
        <f t="shared" si="46"/>
        <v>9414.2720000000008</v>
      </c>
      <c r="P323" s="77">
        <f t="shared" si="46"/>
        <v>9428</v>
      </c>
      <c r="Q323" s="77">
        <f t="shared" si="46"/>
        <v>9428</v>
      </c>
      <c r="R323" s="119"/>
    </row>
    <row r="324" spans="2:19" ht="19.5" thickBot="1" x14ac:dyDescent="0.35"/>
    <row r="325" spans="2:19" ht="20.25" thickBot="1" x14ac:dyDescent="0.3">
      <c r="B325" s="399" t="s">
        <v>212</v>
      </c>
      <c r="C325" s="400"/>
      <c r="D325" s="400"/>
      <c r="E325" s="400"/>
      <c r="F325" s="400"/>
      <c r="G325" s="400"/>
      <c r="H325" s="400"/>
      <c r="I325" s="400"/>
      <c r="J325" s="400"/>
      <c r="K325" s="400"/>
      <c r="L325" s="400"/>
      <c r="M325" s="400"/>
      <c r="N325" s="400"/>
      <c r="O325" s="400"/>
      <c r="P325" s="400"/>
      <c r="Q325" s="401"/>
    </row>
    <row r="326" spans="2:19" ht="16.5" customHeight="1" thickBot="1" x14ac:dyDescent="0.3">
      <c r="B326" s="402" t="s">
        <v>64</v>
      </c>
      <c r="C326" s="402" t="s">
        <v>65</v>
      </c>
      <c r="D326" s="402" t="s">
        <v>66</v>
      </c>
      <c r="E326" s="402" t="s">
        <v>67</v>
      </c>
      <c r="F326" s="402" t="s">
        <v>24</v>
      </c>
      <c r="G326" s="405" t="s">
        <v>25</v>
      </c>
      <c r="H326" s="402" t="s">
        <v>22</v>
      </c>
      <c r="I326" s="397" t="s">
        <v>68</v>
      </c>
      <c r="J326" s="397" t="s">
        <v>303</v>
      </c>
      <c r="K326" s="397" t="s">
        <v>365</v>
      </c>
      <c r="L326" s="397" t="s">
        <v>364</v>
      </c>
      <c r="M326" s="423" t="s">
        <v>18</v>
      </c>
      <c r="N326" s="424"/>
      <c r="O326" s="424"/>
      <c r="P326" s="425"/>
      <c r="Q326" s="421" t="s">
        <v>0</v>
      </c>
      <c r="R326" s="397" t="s">
        <v>294</v>
      </c>
      <c r="S326" s="119"/>
    </row>
    <row r="327" spans="2:19" ht="38.25" customHeight="1" thickBot="1" x14ac:dyDescent="0.3">
      <c r="B327" s="403"/>
      <c r="C327" s="403"/>
      <c r="D327" s="404"/>
      <c r="E327" s="404"/>
      <c r="F327" s="403"/>
      <c r="G327" s="406"/>
      <c r="H327" s="403"/>
      <c r="I327" s="407"/>
      <c r="J327" s="407"/>
      <c r="K327" s="398"/>
      <c r="L327" s="408"/>
      <c r="M327" s="80">
        <v>111</v>
      </c>
      <c r="N327" s="80">
        <v>41</v>
      </c>
      <c r="O327" s="275" t="s">
        <v>26</v>
      </c>
      <c r="P327" s="81" t="s">
        <v>106</v>
      </c>
      <c r="Q327" s="422"/>
      <c r="R327" s="407"/>
      <c r="S327" s="119"/>
    </row>
    <row r="328" spans="2:19" ht="16.5" thickBot="1" x14ac:dyDescent="0.3">
      <c r="B328" s="55" t="s">
        <v>70</v>
      </c>
      <c r="C328" s="55" t="s">
        <v>71</v>
      </c>
      <c r="D328" s="67" t="s">
        <v>72</v>
      </c>
      <c r="E328" s="55" t="s">
        <v>73</v>
      </c>
      <c r="F328" s="56" t="s">
        <v>74</v>
      </c>
      <c r="G328" s="57" t="s">
        <v>75</v>
      </c>
      <c r="H328" s="58" t="s">
        <v>76</v>
      </c>
      <c r="I328" s="57">
        <v>1</v>
      </c>
      <c r="J328" s="65">
        <v>2</v>
      </c>
      <c r="K328" s="54" t="s">
        <v>152</v>
      </c>
      <c r="L328" s="57" t="s">
        <v>366</v>
      </c>
      <c r="M328" s="216" t="s">
        <v>336</v>
      </c>
      <c r="N328" s="76" t="s">
        <v>337</v>
      </c>
      <c r="O328" s="76" t="s">
        <v>338</v>
      </c>
      <c r="P328" s="76" t="s">
        <v>339</v>
      </c>
      <c r="Q328" s="57" t="s">
        <v>340</v>
      </c>
      <c r="R328" s="274" t="s">
        <v>238</v>
      </c>
      <c r="S328" s="119"/>
    </row>
    <row r="329" spans="2:19" ht="15.75" x14ac:dyDescent="0.25">
      <c r="B329" s="142" t="s">
        <v>214</v>
      </c>
      <c r="C329" s="145">
        <v>1</v>
      </c>
      <c r="D329" s="145">
        <v>1</v>
      </c>
      <c r="E329" s="145"/>
      <c r="F329" s="145">
        <v>611</v>
      </c>
      <c r="G329" s="142"/>
      <c r="H329" s="145" t="s">
        <v>140</v>
      </c>
      <c r="I329" s="160">
        <v>62623.08</v>
      </c>
      <c r="J329" s="160">
        <v>61331.27</v>
      </c>
      <c r="K329" s="160">
        <v>61242</v>
      </c>
      <c r="L329" s="163">
        <v>64430.879999999997</v>
      </c>
      <c r="M329" s="189">
        <v>0</v>
      </c>
      <c r="N329" s="174">
        <v>94525</v>
      </c>
      <c r="O329" s="183">
        <v>0</v>
      </c>
      <c r="P329" s="182">
        <f t="shared" ref="P329:P356" si="47">M329+N329+O329</f>
        <v>94525</v>
      </c>
      <c r="Q329" s="160">
        <v>94525</v>
      </c>
      <c r="R329" s="160">
        <v>94525</v>
      </c>
      <c r="S329" s="119"/>
    </row>
    <row r="330" spans="2:19" ht="15.75" x14ac:dyDescent="0.25">
      <c r="B330" s="143" t="s">
        <v>214</v>
      </c>
      <c r="C330" s="146">
        <v>1</v>
      </c>
      <c r="D330" s="146">
        <v>1</v>
      </c>
      <c r="E330" s="146"/>
      <c r="F330" s="146">
        <v>614</v>
      </c>
      <c r="G330" s="143"/>
      <c r="H330" s="146" t="s">
        <v>141</v>
      </c>
      <c r="I330" s="161">
        <v>0</v>
      </c>
      <c r="J330" s="161">
        <v>0</v>
      </c>
      <c r="K330" s="161">
        <v>0</v>
      </c>
      <c r="L330" s="164">
        <v>0</v>
      </c>
      <c r="M330" s="183">
        <v>0</v>
      </c>
      <c r="N330" s="172">
        <v>0</v>
      </c>
      <c r="O330" s="183">
        <v>0</v>
      </c>
      <c r="P330" s="182">
        <f t="shared" si="47"/>
        <v>0</v>
      </c>
      <c r="Q330" s="161">
        <v>0</v>
      </c>
      <c r="R330" s="161">
        <v>0</v>
      </c>
      <c r="S330" s="119"/>
    </row>
    <row r="331" spans="2:19" ht="15.75" x14ac:dyDescent="0.25">
      <c r="B331" s="143" t="s">
        <v>214</v>
      </c>
      <c r="C331" s="146">
        <v>1</v>
      </c>
      <c r="D331" s="146">
        <v>1</v>
      </c>
      <c r="E331" s="146"/>
      <c r="F331" s="146">
        <v>621</v>
      </c>
      <c r="G331" s="143"/>
      <c r="H331" s="146" t="s">
        <v>373</v>
      </c>
      <c r="I331" s="161">
        <v>2184.1</v>
      </c>
      <c r="J331" s="161">
        <v>2145.9499999999998</v>
      </c>
      <c r="K331" s="161">
        <v>21404</v>
      </c>
      <c r="L331" s="164">
        <v>2306.2800000000002</v>
      </c>
      <c r="M331" s="183">
        <v>0</v>
      </c>
      <c r="N331" s="172">
        <v>2835.75</v>
      </c>
      <c r="O331" s="183">
        <v>0</v>
      </c>
      <c r="P331" s="182">
        <f t="shared" si="47"/>
        <v>2835.75</v>
      </c>
      <c r="Q331" s="161">
        <v>2840</v>
      </c>
      <c r="R331" s="161">
        <v>2840</v>
      </c>
      <c r="S331" s="119"/>
    </row>
    <row r="332" spans="2:19" ht="15.75" x14ac:dyDescent="0.25">
      <c r="B332" s="143" t="s">
        <v>214</v>
      </c>
      <c r="C332" s="146">
        <v>1</v>
      </c>
      <c r="D332" s="146">
        <v>1</v>
      </c>
      <c r="E332" s="146"/>
      <c r="F332" s="146">
        <v>623</v>
      </c>
      <c r="G332" s="143"/>
      <c r="H332" s="146" t="s">
        <v>374</v>
      </c>
      <c r="I332" s="161">
        <v>4194.57</v>
      </c>
      <c r="J332" s="161">
        <v>4098.8999999999996</v>
      </c>
      <c r="K332" s="161">
        <v>0</v>
      </c>
      <c r="L332" s="164">
        <v>4234.28</v>
      </c>
      <c r="M332" s="183">
        <v>0</v>
      </c>
      <c r="N332" s="172">
        <v>6616.75</v>
      </c>
      <c r="O332" s="183">
        <v>0</v>
      </c>
      <c r="P332" s="182">
        <f t="shared" si="47"/>
        <v>6616.75</v>
      </c>
      <c r="Q332" s="161">
        <v>6120</v>
      </c>
      <c r="R332" s="161">
        <v>6120</v>
      </c>
      <c r="S332" s="119"/>
    </row>
    <row r="333" spans="2:19" ht="15.75" x14ac:dyDescent="0.25">
      <c r="B333" s="143" t="s">
        <v>214</v>
      </c>
      <c r="C333" s="146">
        <v>1</v>
      </c>
      <c r="D333" s="146">
        <v>1</v>
      </c>
      <c r="E333" s="146"/>
      <c r="F333" s="146">
        <v>625</v>
      </c>
      <c r="G333" s="143" t="s">
        <v>30</v>
      </c>
      <c r="H333" s="146" t="s">
        <v>321</v>
      </c>
      <c r="I333" s="161">
        <v>876.4</v>
      </c>
      <c r="J333" s="161">
        <v>857.69</v>
      </c>
      <c r="K333" s="161">
        <v>0</v>
      </c>
      <c r="L333" s="164">
        <v>896.49</v>
      </c>
      <c r="M333" s="183">
        <v>0</v>
      </c>
      <c r="N333" s="172">
        <v>1323.35</v>
      </c>
      <c r="O333" s="183">
        <v>0</v>
      </c>
      <c r="P333" s="182">
        <f t="shared" si="47"/>
        <v>1323.35</v>
      </c>
      <c r="Q333" s="161">
        <v>1330</v>
      </c>
      <c r="R333" s="161">
        <v>1330</v>
      </c>
      <c r="S333" s="119"/>
    </row>
    <row r="334" spans="2:19" ht="15.75" x14ac:dyDescent="0.25">
      <c r="B334" s="143" t="s">
        <v>214</v>
      </c>
      <c r="C334" s="146">
        <v>1</v>
      </c>
      <c r="D334" s="146">
        <v>1</v>
      </c>
      <c r="E334" s="146"/>
      <c r="F334" s="146">
        <v>625</v>
      </c>
      <c r="G334" s="143" t="s">
        <v>31</v>
      </c>
      <c r="H334" s="146" t="s">
        <v>322</v>
      </c>
      <c r="I334" s="161">
        <v>8767.48</v>
      </c>
      <c r="J334" s="161">
        <v>8579.83</v>
      </c>
      <c r="K334" s="161">
        <v>0</v>
      </c>
      <c r="L334" s="164">
        <v>8968.98</v>
      </c>
      <c r="M334" s="183">
        <v>0</v>
      </c>
      <c r="N334" s="172">
        <v>13233.5</v>
      </c>
      <c r="O334" s="183">
        <v>0</v>
      </c>
      <c r="P334" s="182">
        <f t="shared" si="47"/>
        <v>13233.5</v>
      </c>
      <c r="Q334" s="161">
        <v>13235</v>
      </c>
      <c r="R334" s="161">
        <v>13235</v>
      </c>
      <c r="S334" s="119"/>
    </row>
    <row r="335" spans="2:19" ht="15.75" x14ac:dyDescent="0.25">
      <c r="B335" s="143" t="s">
        <v>214</v>
      </c>
      <c r="C335" s="146">
        <v>1</v>
      </c>
      <c r="D335" s="146">
        <v>1</v>
      </c>
      <c r="E335" s="146"/>
      <c r="F335" s="146">
        <v>625</v>
      </c>
      <c r="G335" s="143" t="s">
        <v>29</v>
      </c>
      <c r="H335" s="146" t="s">
        <v>323</v>
      </c>
      <c r="I335" s="161">
        <v>500.7</v>
      </c>
      <c r="J335" s="161">
        <v>489.99</v>
      </c>
      <c r="K335" s="161">
        <v>0</v>
      </c>
      <c r="L335" s="164">
        <v>514.55999999999995</v>
      </c>
      <c r="M335" s="183">
        <v>0</v>
      </c>
      <c r="N335" s="172">
        <v>756.2</v>
      </c>
      <c r="O335" s="183">
        <v>0</v>
      </c>
      <c r="P335" s="182">
        <f t="shared" si="47"/>
        <v>756.2</v>
      </c>
      <c r="Q335" s="161">
        <v>760</v>
      </c>
      <c r="R335" s="161">
        <v>760</v>
      </c>
      <c r="S335" s="119"/>
    </row>
    <row r="336" spans="2:19" ht="15.75" x14ac:dyDescent="0.25">
      <c r="B336" s="143" t="s">
        <v>214</v>
      </c>
      <c r="C336" s="146">
        <v>1</v>
      </c>
      <c r="D336" s="146">
        <v>1</v>
      </c>
      <c r="E336" s="146"/>
      <c r="F336" s="146">
        <v>625</v>
      </c>
      <c r="G336" s="143" t="s">
        <v>34</v>
      </c>
      <c r="H336" s="146" t="s">
        <v>324</v>
      </c>
      <c r="I336" s="161">
        <v>1878.52</v>
      </c>
      <c r="J336" s="161">
        <v>1838.33</v>
      </c>
      <c r="K336" s="161">
        <v>0</v>
      </c>
      <c r="L336" s="164">
        <v>1921.14</v>
      </c>
      <c r="M336" s="183">
        <v>0</v>
      </c>
      <c r="N336" s="172">
        <v>2835.75</v>
      </c>
      <c r="O336" s="183">
        <v>0</v>
      </c>
      <c r="P336" s="182">
        <f t="shared" si="47"/>
        <v>2835.75</v>
      </c>
      <c r="Q336" s="161">
        <v>2840</v>
      </c>
      <c r="R336" s="161">
        <v>2840</v>
      </c>
      <c r="S336" s="119"/>
    </row>
    <row r="337" spans="2:19" ht="15.75" x14ac:dyDescent="0.25">
      <c r="B337" s="143" t="s">
        <v>214</v>
      </c>
      <c r="C337" s="146">
        <v>1</v>
      </c>
      <c r="D337" s="146">
        <v>1</v>
      </c>
      <c r="E337" s="146"/>
      <c r="F337" s="146">
        <v>625</v>
      </c>
      <c r="G337" s="143" t="s">
        <v>107</v>
      </c>
      <c r="H337" s="146" t="s">
        <v>325</v>
      </c>
      <c r="I337" s="161">
        <v>626.03</v>
      </c>
      <c r="J337" s="161">
        <v>612.63</v>
      </c>
      <c r="K337" s="161">
        <v>0</v>
      </c>
      <c r="L337" s="164">
        <v>642.33000000000004</v>
      </c>
      <c r="M337" s="183">
        <v>0</v>
      </c>
      <c r="N337" s="172">
        <v>945.25</v>
      </c>
      <c r="O337" s="183">
        <v>0</v>
      </c>
      <c r="P337" s="182">
        <f t="shared" si="47"/>
        <v>945.25</v>
      </c>
      <c r="Q337" s="161">
        <v>950</v>
      </c>
      <c r="R337" s="161">
        <v>950</v>
      </c>
      <c r="S337" s="119"/>
    </row>
    <row r="338" spans="2:19" ht="15.75" x14ac:dyDescent="0.25">
      <c r="B338" s="143" t="s">
        <v>214</v>
      </c>
      <c r="C338" s="146">
        <v>1</v>
      </c>
      <c r="D338" s="146">
        <v>1</v>
      </c>
      <c r="E338" s="146"/>
      <c r="F338" s="146">
        <v>625</v>
      </c>
      <c r="G338" s="143" t="s">
        <v>108</v>
      </c>
      <c r="H338" s="146" t="s">
        <v>326</v>
      </c>
      <c r="I338" s="161">
        <v>2974.4</v>
      </c>
      <c r="J338" s="161">
        <v>2910.75</v>
      </c>
      <c r="K338" s="161">
        <v>0</v>
      </c>
      <c r="L338" s="164">
        <v>3045.71</v>
      </c>
      <c r="M338" s="183">
        <v>0</v>
      </c>
      <c r="N338" s="172">
        <v>4489.9375</v>
      </c>
      <c r="O338" s="183">
        <v>0</v>
      </c>
      <c r="P338" s="182">
        <f t="shared" si="47"/>
        <v>4489.9375</v>
      </c>
      <c r="Q338" s="161">
        <v>4490</v>
      </c>
      <c r="R338" s="161">
        <v>4490</v>
      </c>
      <c r="S338" s="119"/>
    </row>
    <row r="339" spans="2:19" ht="15.75" x14ac:dyDescent="0.25">
      <c r="B339" s="143" t="s">
        <v>214</v>
      </c>
      <c r="C339" s="146">
        <v>1</v>
      </c>
      <c r="D339" s="146">
        <v>1</v>
      </c>
      <c r="E339" s="146"/>
      <c r="F339" s="146">
        <v>627</v>
      </c>
      <c r="G339" s="143"/>
      <c r="H339" s="146" t="s">
        <v>327</v>
      </c>
      <c r="I339" s="161">
        <v>1244.3900000000001</v>
      </c>
      <c r="J339" s="161">
        <v>1165.44</v>
      </c>
      <c r="K339" s="161">
        <v>0</v>
      </c>
      <c r="L339" s="164">
        <v>1165.8499999999999</v>
      </c>
      <c r="M339" s="183">
        <v>0</v>
      </c>
      <c r="N339" s="172">
        <v>1890.5</v>
      </c>
      <c r="O339" s="183">
        <v>0</v>
      </c>
      <c r="P339" s="182">
        <f t="shared" si="47"/>
        <v>1890.5</v>
      </c>
      <c r="Q339" s="161">
        <v>1895</v>
      </c>
      <c r="R339" s="161">
        <v>1895</v>
      </c>
      <c r="S339" s="119"/>
    </row>
    <row r="340" spans="2:19" ht="15.75" x14ac:dyDescent="0.25">
      <c r="B340" s="143" t="s">
        <v>214</v>
      </c>
      <c r="C340" s="146">
        <v>1</v>
      </c>
      <c r="D340" s="146">
        <v>1</v>
      </c>
      <c r="E340" s="146"/>
      <c r="F340" s="146">
        <v>632</v>
      </c>
      <c r="G340" s="143" t="s">
        <v>30</v>
      </c>
      <c r="H340" s="146" t="s">
        <v>83</v>
      </c>
      <c r="I340" s="161">
        <v>5037.84</v>
      </c>
      <c r="J340" s="161">
        <v>3587.18</v>
      </c>
      <c r="K340" s="161">
        <v>6500</v>
      </c>
      <c r="L340" s="161">
        <v>7061.87</v>
      </c>
      <c r="M340" s="183">
        <v>0</v>
      </c>
      <c r="N340" s="172">
        <v>13000</v>
      </c>
      <c r="O340" s="183">
        <v>0</v>
      </c>
      <c r="P340" s="182">
        <f t="shared" si="47"/>
        <v>13000</v>
      </c>
      <c r="Q340" s="161">
        <v>13000</v>
      </c>
      <c r="R340" s="161">
        <v>13000</v>
      </c>
      <c r="S340" s="119"/>
    </row>
    <row r="341" spans="2:19" ht="15.75" x14ac:dyDescent="0.25">
      <c r="B341" s="143" t="s">
        <v>214</v>
      </c>
      <c r="C341" s="146">
        <v>1</v>
      </c>
      <c r="D341" s="146">
        <v>1</v>
      </c>
      <c r="E341" s="146"/>
      <c r="F341" s="146">
        <v>632</v>
      </c>
      <c r="G341" s="143" t="s">
        <v>31</v>
      </c>
      <c r="H341" s="146" t="s">
        <v>84</v>
      </c>
      <c r="I341" s="161">
        <v>349.38</v>
      </c>
      <c r="J341" s="161">
        <v>325.31</v>
      </c>
      <c r="K341" s="161">
        <v>500</v>
      </c>
      <c r="L341" s="161">
        <v>380.07</v>
      </c>
      <c r="M341" s="183">
        <v>0</v>
      </c>
      <c r="N341" s="172">
        <v>400</v>
      </c>
      <c r="O341" s="183">
        <v>0</v>
      </c>
      <c r="P341" s="182">
        <f t="shared" si="47"/>
        <v>400</v>
      </c>
      <c r="Q341" s="161">
        <v>400</v>
      </c>
      <c r="R341" s="161">
        <v>400</v>
      </c>
      <c r="S341" s="119"/>
    </row>
    <row r="342" spans="2:19" ht="15.75" x14ac:dyDescent="0.25">
      <c r="B342" s="143" t="s">
        <v>214</v>
      </c>
      <c r="C342" s="146">
        <v>1</v>
      </c>
      <c r="D342" s="146">
        <v>1</v>
      </c>
      <c r="E342" s="146"/>
      <c r="F342" s="146">
        <v>632</v>
      </c>
      <c r="G342" s="143" t="s">
        <v>107</v>
      </c>
      <c r="H342" s="146" t="s">
        <v>165</v>
      </c>
      <c r="I342" s="161">
        <v>524.16999999999996</v>
      </c>
      <c r="J342" s="161">
        <v>485.6</v>
      </c>
      <c r="K342" s="161">
        <v>500</v>
      </c>
      <c r="L342" s="161">
        <v>77.099999999999994</v>
      </c>
      <c r="M342" s="183">
        <v>0</v>
      </c>
      <c r="N342" s="172">
        <v>150</v>
      </c>
      <c r="O342" s="183">
        <v>0</v>
      </c>
      <c r="P342" s="182">
        <f t="shared" si="47"/>
        <v>150</v>
      </c>
      <c r="Q342" s="161">
        <v>150</v>
      </c>
      <c r="R342" s="161">
        <v>150</v>
      </c>
      <c r="S342" s="119"/>
    </row>
    <row r="343" spans="2:19" ht="15.75" x14ac:dyDescent="0.25">
      <c r="B343" s="143" t="s">
        <v>214</v>
      </c>
      <c r="C343" s="146">
        <v>1</v>
      </c>
      <c r="D343" s="146">
        <v>1</v>
      </c>
      <c r="E343" s="146"/>
      <c r="F343" s="146">
        <v>633</v>
      </c>
      <c r="G343" s="143" t="s">
        <v>30</v>
      </c>
      <c r="H343" s="146" t="s">
        <v>87</v>
      </c>
      <c r="I343" s="161">
        <v>243.4</v>
      </c>
      <c r="J343" s="161">
        <v>2227.73</v>
      </c>
      <c r="K343" s="161">
        <v>1000</v>
      </c>
      <c r="L343" s="161">
        <v>0</v>
      </c>
      <c r="M343" s="183">
        <v>0</v>
      </c>
      <c r="N343" s="172">
        <v>900</v>
      </c>
      <c r="O343" s="183">
        <v>0</v>
      </c>
      <c r="P343" s="182">
        <f t="shared" si="47"/>
        <v>900</v>
      </c>
      <c r="Q343" s="161">
        <v>900</v>
      </c>
      <c r="R343" s="161">
        <v>900</v>
      </c>
      <c r="S343" s="119"/>
    </row>
    <row r="344" spans="2:19" ht="15.75" x14ac:dyDescent="0.25">
      <c r="B344" s="143" t="s">
        <v>214</v>
      </c>
      <c r="C344" s="146">
        <v>1</v>
      </c>
      <c r="D344" s="146">
        <v>1</v>
      </c>
      <c r="E344" s="146"/>
      <c r="F344" s="146">
        <v>633</v>
      </c>
      <c r="G344" s="143" t="s">
        <v>31</v>
      </c>
      <c r="H344" s="146" t="s">
        <v>88</v>
      </c>
      <c r="I344" s="161">
        <v>580.25</v>
      </c>
      <c r="J344" s="161">
        <v>1433.8</v>
      </c>
      <c r="K344" s="161">
        <v>500</v>
      </c>
      <c r="L344" s="161">
        <v>518.4</v>
      </c>
      <c r="M344" s="265">
        <v>1000</v>
      </c>
      <c r="N344" s="172">
        <v>0</v>
      </c>
      <c r="O344" s="183">
        <v>0</v>
      </c>
      <c r="P344" s="182">
        <f t="shared" si="47"/>
        <v>1000</v>
      </c>
      <c r="Q344" s="161">
        <v>0</v>
      </c>
      <c r="R344" s="161">
        <v>0</v>
      </c>
      <c r="S344" s="119"/>
    </row>
    <row r="345" spans="2:19" ht="15.75" x14ac:dyDescent="0.25">
      <c r="B345" s="143" t="s">
        <v>214</v>
      </c>
      <c r="C345" s="146">
        <v>1</v>
      </c>
      <c r="D345" s="146">
        <v>1</v>
      </c>
      <c r="E345" s="146"/>
      <c r="F345" s="146">
        <v>633</v>
      </c>
      <c r="G345" s="143" t="s">
        <v>35</v>
      </c>
      <c r="H345" s="146" t="s">
        <v>90</v>
      </c>
      <c r="I345" s="161">
        <v>1131.28</v>
      </c>
      <c r="J345" s="161">
        <f>864+1149.39</f>
        <v>2013.39</v>
      </c>
      <c r="K345" s="161">
        <v>1200</v>
      </c>
      <c r="L345" s="161">
        <v>1280.27</v>
      </c>
      <c r="M345" s="265">
        <v>1200</v>
      </c>
      <c r="N345" s="172">
        <v>300</v>
      </c>
      <c r="O345" s="183">
        <v>0</v>
      </c>
      <c r="P345" s="182">
        <f t="shared" si="47"/>
        <v>1500</v>
      </c>
      <c r="Q345" s="161">
        <v>2500</v>
      </c>
      <c r="R345" s="161">
        <v>2500</v>
      </c>
      <c r="S345" s="119"/>
    </row>
    <row r="346" spans="2:19" ht="31.5" x14ac:dyDescent="0.25">
      <c r="B346" s="143" t="s">
        <v>214</v>
      </c>
      <c r="C346" s="146">
        <v>1</v>
      </c>
      <c r="D346" s="146">
        <v>1</v>
      </c>
      <c r="E346" s="146"/>
      <c r="F346" s="146">
        <v>633</v>
      </c>
      <c r="G346" s="143" t="s">
        <v>124</v>
      </c>
      <c r="H346" s="178" t="s">
        <v>216</v>
      </c>
      <c r="I346" s="161">
        <v>1534.1</v>
      </c>
      <c r="J346" s="161">
        <f>1500+278.09</f>
        <v>1778.09</v>
      </c>
      <c r="K346" s="161">
        <v>1000</v>
      </c>
      <c r="L346" s="161">
        <f>1170.88+35.53</f>
        <v>1206.4100000000001</v>
      </c>
      <c r="M346" s="265">
        <v>2140</v>
      </c>
      <c r="N346" s="172">
        <v>300</v>
      </c>
      <c r="O346" s="183">
        <v>0</v>
      </c>
      <c r="P346" s="182">
        <f t="shared" si="47"/>
        <v>2440</v>
      </c>
      <c r="Q346" s="161">
        <v>2500</v>
      </c>
      <c r="R346" s="161">
        <v>2500</v>
      </c>
      <c r="S346" s="119"/>
    </row>
    <row r="347" spans="2:19" ht="15.75" x14ac:dyDescent="0.25">
      <c r="B347" s="143"/>
      <c r="C347" s="146"/>
      <c r="D347" s="146"/>
      <c r="E347" s="146"/>
      <c r="F347" s="146">
        <v>633</v>
      </c>
      <c r="G347" s="143" t="s">
        <v>125</v>
      </c>
      <c r="H347" s="178" t="s">
        <v>93</v>
      </c>
      <c r="I347" s="161">
        <v>0</v>
      </c>
      <c r="J347" s="161">
        <v>39.99</v>
      </c>
      <c r="K347" s="161">
        <v>0</v>
      </c>
      <c r="L347" s="161">
        <v>0</v>
      </c>
      <c r="M347" s="183">
        <v>0</v>
      </c>
      <c r="N347" s="172">
        <v>0</v>
      </c>
      <c r="O347" s="183">
        <v>0</v>
      </c>
      <c r="P347" s="182">
        <f t="shared" si="47"/>
        <v>0</v>
      </c>
      <c r="Q347" s="161">
        <v>0</v>
      </c>
      <c r="R347" s="161">
        <v>0</v>
      </c>
      <c r="S347" s="119"/>
    </row>
    <row r="348" spans="2:19" ht="15.75" x14ac:dyDescent="0.25">
      <c r="B348" s="143" t="s">
        <v>214</v>
      </c>
      <c r="C348" s="146">
        <v>1</v>
      </c>
      <c r="D348" s="146">
        <v>1</v>
      </c>
      <c r="E348" s="146"/>
      <c r="F348" s="146">
        <v>633</v>
      </c>
      <c r="G348" s="143" t="s">
        <v>39</v>
      </c>
      <c r="H348" s="146" t="s">
        <v>218</v>
      </c>
      <c r="I348" s="161">
        <v>0</v>
      </c>
      <c r="J348" s="161">
        <v>4165.2</v>
      </c>
      <c r="K348" s="161">
        <v>0</v>
      </c>
      <c r="L348" s="161">
        <v>0</v>
      </c>
      <c r="M348" s="183">
        <v>0</v>
      </c>
      <c r="N348" s="172">
        <v>0</v>
      </c>
      <c r="O348" s="183">
        <v>0</v>
      </c>
      <c r="P348" s="182">
        <f t="shared" si="47"/>
        <v>0</v>
      </c>
      <c r="Q348" s="161">
        <v>0</v>
      </c>
      <c r="R348" s="161">
        <v>0</v>
      </c>
      <c r="S348" s="119"/>
    </row>
    <row r="349" spans="2:19" ht="15.75" x14ac:dyDescent="0.25">
      <c r="B349" s="143" t="s">
        <v>214</v>
      </c>
      <c r="C349" s="146">
        <v>1</v>
      </c>
      <c r="D349" s="146">
        <v>1</v>
      </c>
      <c r="E349" s="146"/>
      <c r="F349" s="146">
        <v>633</v>
      </c>
      <c r="G349" s="143" t="s">
        <v>30</v>
      </c>
      <c r="H349" s="146" t="s">
        <v>289</v>
      </c>
      <c r="I349" s="161">
        <v>13696.7</v>
      </c>
      <c r="J349" s="161">
        <v>8112.98</v>
      </c>
      <c r="K349" s="161">
        <v>14000</v>
      </c>
      <c r="L349" s="161">
        <v>12408.67</v>
      </c>
      <c r="M349" s="183">
        <v>0</v>
      </c>
      <c r="N349" s="172">
        <v>0</v>
      </c>
      <c r="O349" s="172">
        <v>12920</v>
      </c>
      <c r="P349" s="182">
        <f t="shared" si="47"/>
        <v>12920</v>
      </c>
      <c r="Q349" s="161">
        <v>12920</v>
      </c>
      <c r="R349" s="161">
        <v>12920</v>
      </c>
      <c r="S349" s="119"/>
    </row>
    <row r="350" spans="2:19" ht="15.75" x14ac:dyDescent="0.25">
      <c r="B350" s="143" t="s">
        <v>214</v>
      </c>
      <c r="C350" s="146">
        <v>1</v>
      </c>
      <c r="D350" s="146">
        <v>1</v>
      </c>
      <c r="E350" s="146"/>
      <c r="F350" s="146">
        <v>635</v>
      </c>
      <c r="G350" s="143" t="s">
        <v>31</v>
      </c>
      <c r="H350" s="146" t="s">
        <v>101</v>
      </c>
      <c r="I350" s="161">
        <v>0</v>
      </c>
      <c r="J350" s="161">
        <v>30</v>
      </c>
      <c r="K350" s="161">
        <v>0</v>
      </c>
      <c r="L350" s="161">
        <v>0</v>
      </c>
      <c r="M350" s="183">
        <v>0</v>
      </c>
      <c r="N350" s="172">
        <v>0</v>
      </c>
      <c r="O350" s="183">
        <v>0</v>
      </c>
      <c r="P350" s="182">
        <f t="shared" si="47"/>
        <v>0</v>
      </c>
      <c r="Q350" s="161">
        <v>0</v>
      </c>
      <c r="R350" s="161">
        <v>0</v>
      </c>
      <c r="S350" s="119"/>
    </row>
    <row r="351" spans="2:19" ht="15.75" x14ac:dyDescent="0.25">
      <c r="B351" s="143"/>
      <c r="C351" s="146"/>
      <c r="D351" s="146"/>
      <c r="E351" s="146"/>
      <c r="F351" s="146">
        <v>635</v>
      </c>
      <c r="G351" s="143" t="s">
        <v>34</v>
      </c>
      <c r="H351" s="146" t="s">
        <v>360</v>
      </c>
      <c r="I351" s="161">
        <v>0</v>
      </c>
      <c r="J351" s="161">
        <v>0</v>
      </c>
      <c r="K351" s="161">
        <v>0</v>
      </c>
      <c r="L351" s="161">
        <v>250</v>
      </c>
      <c r="M351" s="183">
        <v>0</v>
      </c>
      <c r="N351" s="172">
        <v>0</v>
      </c>
      <c r="O351" s="183">
        <v>0</v>
      </c>
      <c r="P351" s="182">
        <f t="shared" si="47"/>
        <v>0</v>
      </c>
      <c r="Q351" s="161">
        <v>0</v>
      </c>
      <c r="R351" s="161">
        <v>0</v>
      </c>
      <c r="S351" s="119"/>
    </row>
    <row r="352" spans="2:19" ht="31.5" x14ac:dyDescent="0.25">
      <c r="B352" s="143" t="s">
        <v>214</v>
      </c>
      <c r="C352" s="146">
        <v>1</v>
      </c>
      <c r="D352" s="146">
        <v>1</v>
      </c>
      <c r="E352" s="146"/>
      <c r="F352" s="146">
        <v>635</v>
      </c>
      <c r="G352" s="143" t="s">
        <v>107</v>
      </c>
      <c r="H352" s="178" t="s">
        <v>217</v>
      </c>
      <c r="I352" s="161">
        <v>52</v>
      </c>
      <c r="J352" s="161">
        <v>0</v>
      </c>
      <c r="K352" s="161">
        <v>100</v>
      </c>
      <c r="L352" s="161">
        <v>0</v>
      </c>
      <c r="M352" s="183">
        <v>0</v>
      </c>
      <c r="N352" s="172">
        <v>0</v>
      </c>
      <c r="O352" s="183">
        <v>0</v>
      </c>
      <c r="P352" s="182">
        <f t="shared" si="47"/>
        <v>0</v>
      </c>
      <c r="Q352" s="161">
        <v>0</v>
      </c>
      <c r="R352" s="161">
        <v>0</v>
      </c>
      <c r="S352" s="119"/>
    </row>
    <row r="353" spans="2:19" ht="15.75" x14ac:dyDescent="0.25">
      <c r="B353" s="143" t="s">
        <v>214</v>
      </c>
      <c r="C353" s="146">
        <v>1</v>
      </c>
      <c r="D353" s="146">
        <v>1</v>
      </c>
      <c r="E353" s="146"/>
      <c r="F353" s="146">
        <v>635</v>
      </c>
      <c r="G353" s="143" t="s">
        <v>35</v>
      </c>
      <c r="H353" s="178" t="s">
        <v>207</v>
      </c>
      <c r="I353" s="161">
        <v>594.4</v>
      </c>
      <c r="J353" s="161">
        <v>850</v>
      </c>
      <c r="K353" s="161">
        <v>1500</v>
      </c>
      <c r="L353" s="161">
        <v>978.72</v>
      </c>
      <c r="M353" s="183">
        <v>0</v>
      </c>
      <c r="N353" s="172">
        <v>1000</v>
      </c>
      <c r="O353" s="183">
        <v>0</v>
      </c>
      <c r="P353" s="182">
        <f t="shared" si="47"/>
        <v>1000</v>
      </c>
      <c r="Q353" s="161">
        <v>1000</v>
      </c>
      <c r="R353" s="161">
        <v>1000</v>
      </c>
      <c r="S353" s="119"/>
    </row>
    <row r="354" spans="2:19" ht="15.75" x14ac:dyDescent="0.25">
      <c r="B354" s="143" t="s">
        <v>214</v>
      </c>
      <c r="C354" s="146">
        <v>1</v>
      </c>
      <c r="D354" s="146">
        <v>1</v>
      </c>
      <c r="E354" s="146"/>
      <c r="F354" s="146">
        <v>635</v>
      </c>
      <c r="G354" s="143" t="s">
        <v>124</v>
      </c>
      <c r="H354" s="146" t="s">
        <v>226</v>
      </c>
      <c r="I354" s="161">
        <v>0</v>
      </c>
      <c r="J354" s="161">
        <v>36.76</v>
      </c>
      <c r="K354" s="161">
        <v>250</v>
      </c>
      <c r="L354" s="161">
        <v>49.68</v>
      </c>
      <c r="M354" s="183">
        <v>0</v>
      </c>
      <c r="N354" s="172">
        <v>50</v>
      </c>
      <c r="O354" s="183">
        <v>0</v>
      </c>
      <c r="P354" s="182">
        <f t="shared" si="47"/>
        <v>50</v>
      </c>
      <c r="Q354" s="161">
        <v>50</v>
      </c>
      <c r="R354" s="161">
        <v>50</v>
      </c>
      <c r="S354" s="119"/>
    </row>
    <row r="355" spans="2:19" ht="31.5" x14ac:dyDescent="0.25">
      <c r="B355" s="143"/>
      <c r="C355" s="146"/>
      <c r="D355" s="146"/>
      <c r="E355" s="146"/>
      <c r="F355" s="146">
        <v>635</v>
      </c>
      <c r="G355" s="143" t="s">
        <v>39</v>
      </c>
      <c r="H355" s="178" t="s">
        <v>359</v>
      </c>
      <c r="I355" s="161">
        <v>0</v>
      </c>
      <c r="J355" s="161">
        <v>0</v>
      </c>
      <c r="K355" s="161">
        <v>0</v>
      </c>
      <c r="L355" s="161">
        <v>9</v>
      </c>
      <c r="M355" s="183">
        <v>0</v>
      </c>
      <c r="N355" s="172">
        <v>10</v>
      </c>
      <c r="O355" s="183">
        <v>0</v>
      </c>
      <c r="P355" s="182">
        <f t="shared" si="47"/>
        <v>10</v>
      </c>
      <c r="Q355" s="161">
        <v>10</v>
      </c>
      <c r="R355" s="161">
        <v>10</v>
      </c>
      <c r="S355" s="119"/>
    </row>
    <row r="356" spans="2:19" ht="15.75" x14ac:dyDescent="0.25">
      <c r="B356" s="143" t="s">
        <v>214</v>
      </c>
      <c r="C356" s="146">
        <v>1</v>
      </c>
      <c r="D356" s="146">
        <v>1</v>
      </c>
      <c r="E356" s="146"/>
      <c r="F356" s="146">
        <v>637</v>
      </c>
      <c r="G356" s="143" t="s">
        <v>30</v>
      </c>
      <c r="H356" s="146" t="s">
        <v>109</v>
      </c>
      <c r="I356" s="161">
        <v>0</v>
      </c>
      <c r="J356" s="161">
        <v>0</v>
      </c>
      <c r="K356" s="161">
        <v>0</v>
      </c>
      <c r="L356" s="161">
        <v>0</v>
      </c>
      <c r="M356" s="183">
        <v>0</v>
      </c>
      <c r="N356" s="172">
        <v>0</v>
      </c>
      <c r="O356" s="183">
        <v>0</v>
      </c>
      <c r="P356" s="182">
        <f t="shared" si="47"/>
        <v>0</v>
      </c>
      <c r="Q356" s="161">
        <v>0</v>
      </c>
      <c r="R356" s="161">
        <v>0</v>
      </c>
      <c r="S356" s="119"/>
    </row>
    <row r="357" spans="2:19" ht="15.75" x14ac:dyDescent="0.25">
      <c r="B357" s="143" t="s">
        <v>214</v>
      </c>
      <c r="C357" s="146">
        <v>1</v>
      </c>
      <c r="D357" s="146">
        <v>1</v>
      </c>
      <c r="E357" s="146"/>
      <c r="F357" s="146">
        <v>637</v>
      </c>
      <c r="G357" s="143" t="s">
        <v>34</v>
      </c>
      <c r="H357" s="146" t="s">
        <v>111</v>
      </c>
      <c r="I357" s="161">
        <v>134.36000000000001</v>
      </c>
      <c r="J357" s="161">
        <v>217.33</v>
      </c>
      <c r="K357" s="161">
        <v>500</v>
      </c>
      <c r="L357" s="161">
        <v>344</v>
      </c>
      <c r="M357" s="183">
        <v>0</v>
      </c>
      <c r="N357" s="172">
        <v>400</v>
      </c>
      <c r="O357" s="183">
        <v>0</v>
      </c>
      <c r="P357" s="182">
        <f>M357+N357+O357</f>
        <v>400</v>
      </c>
      <c r="Q357" s="161">
        <v>400</v>
      </c>
      <c r="R357" s="161">
        <v>400</v>
      </c>
      <c r="S357" s="119"/>
    </row>
    <row r="358" spans="2:19" ht="16.5" thickBot="1" x14ac:dyDescent="0.3">
      <c r="B358" s="144" t="s">
        <v>214</v>
      </c>
      <c r="C358" s="147">
        <v>1</v>
      </c>
      <c r="D358" s="147">
        <v>1</v>
      </c>
      <c r="E358" s="147"/>
      <c r="F358" s="147">
        <v>637</v>
      </c>
      <c r="G358" s="144" t="s">
        <v>126</v>
      </c>
      <c r="H358" s="146" t="s">
        <v>382</v>
      </c>
      <c r="I358" s="162">
        <v>470.09</v>
      </c>
      <c r="J358" s="162">
        <v>432.76</v>
      </c>
      <c r="K358" s="162">
        <v>550</v>
      </c>
      <c r="L358" s="165">
        <v>574.51</v>
      </c>
      <c r="M358" s="183">
        <v>0</v>
      </c>
      <c r="N358" s="173">
        <v>945.25</v>
      </c>
      <c r="O358" s="183">
        <v>0</v>
      </c>
      <c r="P358" s="182">
        <f>M358+N358+O358</f>
        <v>945.25</v>
      </c>
      <c r="Q358" s="162">
        <v>950</v>
      </c>
      <c r="R358" s="162">
        <v>950</v>
      </c>
      <c r="S358" s="119"/>
    </row>
    <row r="359" spans="2:19" ht="19.5" thickBot="1" x14ac:dyDescent="0.35">
      <c r="B359" s="426" t="s">
        <v>213</v>
      </c>
      <c r="C359" s="427"/>
      <c r="D359" s="427"/>
      <c r="E359" s="427"/>
      <c r="F359" s="427"/>
      <c r="G359" s="427"/>
      <c r="H359" s="428"/>
      <c r="I359" s="40">
        <f t="shared" ref="I359:R359" si="48">SUM(I329:I358)</f>
        <v>110217.63999999997</v>
      </c>
      <c r="J359" s="40">
        <f t="shared" si="48"/>
        <v>109766.9</v>
      </c>
      <c r="K359" s="40">
        <f>SUM(K329:K358)</f>
        <v>110746</v>
      </c>
      <c r="L359" s="40">
        <f t="shared" si="48"/>
        <v>113265.20000000001</v>
      </c>
      <c r="M359" s="77">
        <f t="shared" si="48"/>
        <v>4340</v>
      </c>
      <c r="N359" s="77">
        <f t="shared" si="48"/>
        <v>146907.23749999999</v>
      </c>
      <c r="O359" s="77">
        <f t="shared" si="48"/>
        <v>12920</v>
      </c>
      <c r="P359" s="77">
        <f>SUM(P329:P358)</f>
        <v>164167.23749999999</v>
      </c>
      <c r="Q359" s="52">
        <f t="shared" si="48"/>
        <v>163765</v>
      </c>
      <c r="R359" s="52">
        <f t="shared" si="48"/>
        <v>163765</v>
      </c>
      <c r="S359" s="119"/>
    </row>
    <row r="360" spans="2:19" ht="18.75" customHeight="1" thickBot="1" x14ac:dyDescent="0.35">
      <c r="S360" s="119"/>
    </row>
    <row r="361" spans="2:19" ht="20.25" thickBot="1" x14ac:dyDescent="0.3">
      <c r="B361" s="399" t="s">
        <v>219</v>
      </c>
      <c r="C361" s="400"/>
      <c r="D361" s="400"/>
      <c r="E361" s="400"/>
      <c r="F361" s="400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1"/>
      <c r="R361" s="119"/>
      <c r="S361" s="119"/>
    </row>
    <row r="362" spans="2:19" ht="16.5" customHeight="1" thickBot="1" x14ac:dyDescent="0.3">
      <c r="B362" s="402" t="s">
        <v>64</v>
      </c>
      <c r="C362" s="402" t="s">
        <v>65</v>
      </c>
      <c r="D362" s="402" t="s">
        <v>66</v>
      </c>
      <c r="E362" s="402" t="s">
        <v>67</v>
      </c>
      <c r="F362" s="402" t="s">
        <v>24</v>
      </c>
      <c r="G362" s="405" t="s">
        <v>25</v>
      </c>
      <c r="H362" s="402" t="s">
        <v>22</v>
      </c>
      <c r="I362" s="397" t="s">
        <v>68</v>
      </c>
      <c r="J362" s="397" t="s">
        <v>303</v>
      </c>
      <c r="K362" s="397" t="s">
        <v>365</v>
      </c>
      <c r="L362" s="397" t="s">
        <v>364</v>
      </c>
      <c r="M362" s="409" t="s">
        <v>18</v>
      </c>
      <c r="N362" s="410"/>
      <c r="O362" s="411"/>
      <c r="P362" s="421" t="s">
        <v>0</v>
      </c>
      <c r="Q362" s="397" t="s">
        <v>294</v>
      </c>
      <c r="R362" s="119"/>
    </row>
    <row r="363" spans="2:19" ht="33.75" customHeight="1" thickBot="1" x14ac:dyDescent="0.3">
      <c r="B363" s="403"/>
      <c r="C363" s="404"/>
      <c r="D363" s="404"/>
      <c r="E363" s="404"/>
      <c r="F363" s="403"/>
      <c r="G363" s="406"/>
      <c r="H363" s="404"/>
      <c r="I363" s="407"/>
      <c r="J363" s="407"/>
      <c r="K363" s="398"/>
      <c r="L363" s="408"/>
      <c r="M363" s="72">
        <v>111</v>
      </c>
      <c r="N363" s="72">
        <v>41</v>
      </c>
      <c r="O363" s="73" t="s">
        <v>106</v>
      </c>
      <c r="P363" s="422"/>
      <c r="Q363" s="407"/>
      <c r="R363" s="119"/>
    </row>
    <row r="364" spans="2:19" ht="16.5" thickBot="1" x14ac:dyDescent="0.3">
      <c r="B364" s="67" t="s">
        <v>70</v>
      </c>
      <c r="C364" s="55" t="s">
        <v>71</v>
      </c>
      <c r="D364" s="58" t="s">
        <v>72</v>
      </c>
      <c r="E364" s="55" t="s">
        <v>73</v>
      </c>
      <c r="F364" s="56" t="s">
        <v>74</v>
      </c>
      <c r="G364" s="57" t="s">
        <v>75</v>
      </c>
      <c r="H364" s="55" t="s">
        <v>76</v>
      </c>
      <c r="I364" s="57">
        <v>1</v>
      </c>
      <c r="J364" s="65">
        <v>2</v>
      </c>
      <c r="K364" s="54" t="s">
        <v>152</v>
      </c>
      <c r="L364" s="57" t="s">
        <v>366</v>
      </c>
      <c r="M364" s="74" t="s">
        <v>336</v>
      </c>
      <c r="N364" s="84" t="s">
        <v>337</v>
      </c>
      <c r="O364" s="75" t="s">
        <v>338</v>
      </c>
      <c r="P364" s="65" t="s">
        <v>339</v>
      </c>
      <c r="Q364" s="57" t="s">
        <v>340</v>
      </c>
      <c r="R364" s="119"/>
    </row>
    <row r="365" spans="2:19" ht="15.75" x14ac:dyDescent="0.25">
      <c r="B365" s="142" t="s">
        <v>214</v>
      </c>
      <c r="C365" s="146">
        <v>1</v>
      </c>
      <c r="D365" s="145">
        <v>2</v>
      </c>
      <c r="E365" s="145">
        <v>1</v>
      </c>
      <c r="F365" s="145">
        <v>611</v>
      </c>
      <c r="G365" s="142"/>
      <c r="H365" s="145" t="s">
        <v>140</v>
      </c>
      <c r="I365" s="160">
        <v>21703.64</v>
      </c>
      <c r="J365" s="160">
        <v>0</v>
      </c>
      <c r="K365" s="160">
        <v>0</v>
      </c>
      <c r="L365" s="160">
        <v>0</v>
      </c>
      <c r="M365" s="189">
        <v>0</v>
      </c>
      <c r="N365" s="190">
        <v>0</v>
      </c>
      <c r="O365" s="186">
        <f t="shared" ref="O365:O380" si="49">N365+M365</f>
        <v>0</v>
      </c>
      <c r="P365" s="160">
        <v>0</v>
      </c>
      <c r="Q365" s="160">
        <v>0</v>
      </c>
      <c r="R365" s="119"/>
    </row>
    <row r="366" spans="2:19" ht="15.75" x14ac:dyDescent="0.25">
      <c r="B366" s="143" t="s">
        <v>214</v>
      </c>
      <c r="C366" s="146">
        <v>1</v>
      </c>
      <c r="D366" s="146">
        <v>2</v>
      </c>
      <c r="E366" s="146">
        <v>1</v>
      </c>
      <c r="F366" s="146">
        <v>614</v>
      </c>
      <c r="G366" s="143"/>
      <c r="H366" s="146" t="s">
        <v>79</v>
      </c>
      <c r="I366" s="161">
        <v>7608.9</v>
      </c>
      <c r="J366" s="161">
        <v>0</v>
      </c>
      <c r="K366" s="161">
        <v>0</v>
      </c>
      <c r="L366" s="161">
        <v>0</v>
      </c>
      <c r="M366" s="183">
        <v>0</v>
      </c>
      <c r="N366" s="172">
        <v>0</v>
      </c>
      <c r="O366" s="186">
        <f t="shared" si="49"/>
        <v>0</v>
      </c>
      <c r="P366" s="161">
        <v>0</v>
      </c>
      <c r="Q366" s="161">
        <v>0</v>
      </c>
      <c r="R366" s="119"/>
    </row>
    <row r="367" spans="2:19" ht="15.75" x14ac:dyDescent="0.25">
      <c r="B367" s="143" t="s">
        <v>214</v>
      </c>
      <c r="C367" s="146">
        <v>1</v>
      </c>
      <c r="D367" s="146">
        <v>2</v>
      </c>
      <c r="E367" s="146">
        <v>1</v>
      </c>
      <c r="F367" s="146">
        <v>632</v>
      </c>
      <c r="G367" s="143" t="s">
        <v>30</v>
      </c>
      <c r="H367" s="146" t="s">
        <v>83</v>
      </c>
      <c r="I367" s="161">
        <v>8305.1200000000008</v>
      </c>
      <c r="J367" s="161">
        <v>6862.57</v>
      </c>
      <c r="K367" s="161">
        <v>11000</v>
      </c>
      <c r="L367" s="161">
        <v>16594.91</v>
      </c>
      <c r="M367" s="183">
        <v>0</v>
      </c>
      <c r="N367" s="172">
        <v>26000</v>
      </c>
      <c r="O367" s="186">
        <f t="shared" si="49"/>
        <v>26000</v>
      </c>
      <c r="P367" s="161">
        <v>26000</v>
      </c>
      <c r="Q367" s="161">
        <v>26000</v>
      </c>
      <c r="R367" s="119"/>
    </row>
    <row r="368" spans="2:19" ht="15.75" x14ac:dyDescent="0.25">
      <c r="B368" s="143" t="s">
        <v>214</v>
      </c>
      <c r="C368" s="146">
        <v>1</v>
      </c>
      <c r="D368" s="146">
        <v>2</v>
      </c>
      <c r="E368" s="146">
        <v>1</v>
      </c>
      <c r="F368" s="146">
        <v>632</v>
      </c>
      <c r="G368" s="143" t="s">
        <v>31</v>
      </c>
      <c r="H368" s="146" t="s">
        <v>84</v>
      </c>
      <c r="I368" s="161">
        <v>536.61</v>
      </c>
      <c r="J368" s="161">
        <v>571.36</v>
      </c>
      <c r="K368" s="161">
        <v>1200</v>
      </c>
      <c r="L368" s="161">
        <v>455.09</v>
      </c>
      <c r="M368" s="183">
        <v>0</v>
      </c>
      <c r="N368" s="172">
        <v>600</v>
      </c>
      <c r="O368" s="186">
        <f t="shared" si="49"/>
        <v>600</v>
      </c>
      <c r="P368" s="161">
        <v>600</v>
      </c>
      <c r="Q368" s="161">
        <v>600</v>
      </c>
      <c r="R368" s="119"/>
    </row>
    <row r="369" spans="2:20" ht="15.75" x14ac:dyDescent="0.25">
      <c r="B369" s="143" t="s">
        <v>214</v>
      </c>
      <c r="C369" s="146">
        <v>1</v>
      </c>
      <c r="D369" s="146">
        <v>2</v>
      </c>
      <c r="E369" s="146">
        <v>1</v>
      </c>
      <c r="F369" s="146">
        <v>632</v>
      </c>
      <c r="G369" s="143" t="s">
        <v>29</v>
      </c>
      <c r="H369" s="146" t="s">
        <v>85</v>
      </c>
      <c r="I369" s="161">
        <v>0</v>
      </c>
      <c r="J369" s="161">
        <v>0</v>
      </c>
      <c r="K369" s="161">
        <v>0</v>
      </c>
      <c r="L369" s="161">
        <v>0</v>
      </c>
      <c r="M369" s="183">
        <v>0</v>
      </c>
      <c r="N369" s="172">
        <v>0</v>
      </c>
      <c r="O369" s="186">
        <f t="shared" si="49"/>
        <v>0</v>
      </c>
      <c r="P369" s="161">
        <v>0</v>
      </c>
      <c r="Q369" s="161">
        <v>0</v>
      </c>
      <c r="R369" s="119"/>
    </row>
    <row r="370" spans="2:20" ht="15.75" x14ac:dyDescent="0.25">
      <c r="B370" s="143" t="s">
        <v>214</v>
      </c>
      <c r="C370" s="146">
        <v>1</v>
      </c>
      <c r="D370" s="146">
        <v>2</v>
      </c>
      <c r="E370" s="146">
        <v>1</v>
      </c>
      <c r="F370" s="146">
        <v>632</v>
      </c>
      <c r="G370" s="143" t="s">
        <v>34</v>
      </c>
      <c r="H370" s="146" t="s">
        <v>357</v>
      </c>
      <c r="I370" s="161">
        <v>257.52</v>
      </c>
      <c r="J370" s="161">
        <v>171.04</v>
      </c>
      <c r="K370" s="161">
        <v>300</v>
      </c>
      <c r="L370" s="161">
        <v>288.07</v>
      </c>
      <c r="M370" s="183">
        <v>0</v>
      </c>
      <c r="N370" s="172">
        <v>300</v>
      </c>
      <c r="O370" s="186">
        <f t="shared" si="49"/>
        <v>300</v>
      </c>
      <c r="P370" s="161">
        <v>300</v>
      </c>
      <c r="Q370" s="161">
        <v>300</v>
      </c>
      <c r="R370" s="119"/>
    </row>
    <row r="371" spans="2:20" ht="15.75" x14ac:dyDescent="0.25">
      <c r="B371" s="143" t="s">
        <v>214</v>
      </c>
      <c r="C371" s="146">
        <v>1</v>
      </c>
      <c r="D371" s="146">
        <v>2</v>
      </c>
      <c r="E371" s="146">
        <v>1</v>
      </c>
      <c r="F371" s="146">
        <v>633</v>
      </c>
      <c r="G371" s="143" t="s">
        <v>30</v>
      </c>
      <c r="H371" s="146" t="s">
        <v>87</v>
      </c>
      <c r="I371" s="161">
        <v>0</v>
      </c>
      <c r="J371" s="161">
        <v>1398</v>
      </c>
      <c r="K371" s="161">
        <v>0</v>
      </c>
      <c r="L371" s="161">
        <v>880</v>
      </c>
      <c r="M371" s="183">
        <v>0</v>
      </c>
      <c r="N371" s="172">
        <v>400</v>
      </c>
      <c r="O371" s="186">
        <f t="shared" si="49"/>
        <v>400</v>
      </c>
      <c r="P371" s="161">
        <v>400</v>
      </c>
      <c r="Q371" s="161">
        <v>400</v>
      </c>
      <c r="R371" s="119"/>
    </row>
    <row r="372" spans="2:20" ht="15.75" x14ac:dyDescent="0.25">
      <c r="B372" s="143" t="s">
        <v>214</v>
      </c>
      <c r="C372" s="146">
        <v>1</v>
      </c>
      <c r="D372" s="146">
        <v>2</v>
      </c>
      <c r="E372" s="146">
        <v>1</v>
      </c>
      <c r="F372" s="146">
        <v>633</v>
      </c>
      <c r="G372" s="143" t="s">
        <v>31</v>
      </c>
      <c r="H372" s="146" t="s">
        <v>88</v>
      </c>
      <c r="I372" s="161">
        <v>0</v>
      </c>
      <c r="J372" s="161">
        <v>0</v>
      </c>
      <c r="K372" s="161">
        <v>0</v>
      </c>
      <c r="L372" s="161">
        <v>0</v>
      </c>
      <c r="M372" s="183">
        <v>0</v>
      </c>
      <c r="N372" s="172">
        <v>0</v>
      </c>
      <c r="O372" s="186">
        <f t="shared" si="49"/>
        <v>0</v>
      </c>
      <c r="P372" s="161">
        <v>0</v>
      </c>
      <c r="Q372" s="161">
        <v>0</v>
      </c>
      <c r="R372" s="119"/>
    </row>
    <row r="373" spans="2:20" ht="15.75" x14ac:dyDescent="0.25">
      <c r="B373" s="143" t="s">
        <v>214</v>
      </c>
      <c r="C373" s="146">
        <v>1</v>
      </c>
      <c r="D373" s="146">
        <v>2</v>
      </c>
      <c r="E373" s="146">
        <v>1</v>
      </c>
      <c r="F373" s="146">
        <v>633</v>
      </c>
      <c r="G373" s="143" t="s">
        <v>35</v>
      </c>
      <c r="H373" s="146" t="s">
        <v>90</v>
      </c>
      <c r="I373" s="161">
        <v>1848.52</v>
      </c>
      <c r="J373" s="161">
        <v>2523.5100000000002</v>
      </c>
      <c r="K373" s="161">
        <v>2000</v>
      </c>
      <c r="L373" s="161">
        <v>1175.3399999999999</v>
      </c>
      <c r="M373" s="183">
        <v>0</v>
      </c>
      <c r="N373" s="172">
        <v>600</v>
      </c>
      <c r="O373" s="186">
        <f t="shared" si="49"/>
        <v>600</v>
      </c>
      <c r="P373" s="161">
        <v>1200</v>
      </c>
      <c r="Q373" s="161">
        <v>1200</v>
      </c>
      <c r="R373" s="119"/>
    </row>
    <row r="374" spans="2:20" ht="31.5" x14ac:dyDescent="0.25">
      <c r="B374" s="143" t="s">
        <v>214</v>
      </c>
      <c r="C374" s="146">
        <v>1</v>
      </c>
      <c r="D374" s="146">
        <v>2</v>
      </c>
      <c r="E374" s="146">
        <v>1</v>
      </c>
      <c r="F374" s="146">
        <v>633</v>
      </c>
      <c r="G374" s="143" t="s">
        <v>124</v>
      </c>
      <c r="H374" s="178" t="s">
        <v>223</v>
      </c>
      <c r="I374" s="161">
        <v>0</v>
      </c>
      <c r="J374" s="161">
        <v>0</v>
      </c>
      <c r="K374" s="161">
        <v>0</v>
      </c>
      <c r="L374" s="161">
        <v>0</v>
      </c>
      <c r="M374" s="183">
        <v>0</v>
      </c>
      <c r="N374" s="172">
        <v>0</v>
      </c>
      <c r="O374" s="186">
        <f t="shared" si="49"/>
        <v>0</v>
      </c>
      <c r="P374" s="161">
        <v>0</v>
      </c>
      <c r="Q374" s="161">
        <v>0</v>
      </c>
      <c r="R374" s="119"/>
    </row>
    <row r="375" spans="2:20" ht="31.5" x14ac:dyDescent="0.25">
      <c r="B375" s="143" t="s">
        <v>214</v>
      </c>
      <c r="C375" s="146">
        <v>1</v>
      </c>
      <c r="D375" s="146">
        <v>2</v>
      </c>
      <c r="E375" s="146">
        <v>1</v>
      </c>
      <c r="F375" s="146">
        <v>635</v>
      </c>
      <c r="G375" s="143" t="s">
        <v>34</v>
      </c>
      <c r="H375" s="178" t="s">
        <v>332</v>
      </c>
      <c r="I375" s="161">
        <v>0</v>
      </c>
      <c r="J375" s="161">
        <v>349.92</v>
      </c>
      <c r="K375" s="161">
        <v>0</v>
      </c>
      <c r="L375" s="161">
        <v>0</v>
      </c>
      <c r="M375" s="183">
        <v>0</v>
      </c>
      <c r="N375" s="172">
        <v>0</v>
      </c>
      <c r="O375" s="186">
        <f t="shared" si="49"/>
        <v>0</v>
      </c>
      <c r="P375" s="161">
        <v>0</v>
      </c>
      <c r="Q375" s="161">
        <v>0</v>
      </c>
      <c r="R375" s="119"/>
    </row>
    <row r="376" spans="2:20" ht="15.75" x14ac:dyDescent="0.25">
      <c r="B376" s="143" t="s">
        <v>214</v>
      </c>
      <c r="C376" s="146">
        <v>1</v>
      </c>
      <c r="D376" s="146">
        <v>2</v>
      </c>
      <c r="E376" s="146">
        <v>1</v>
      </c>
      <c r="F376" s="146">
        <v>635</v>
      </c>
      <c r="G376" s="143" t="s">
        <v>31</v>
      </c>
      <c r="H376" s="146" t="s">
        <v>101</v>
      </c>
      <c r="I376" s="161">
        <v>154</v>
      </c>
      <c r="J376" s="161">
        <v>0</v>
      </c>
      <c r="K376" s="161">
        <v>0</v>
      </c>
      <c r="L376" s="161">
        <v>0</v>
      </c>
      <c r="M376" s="183">
        <v>0</v>
      </c>
      <c r="N376" s="172">
        <v>0</v>
      </c>
      <c r="O376" s="186">
        <f t="shared" si="49"/>
        <v>0</v>
      </c>
      <c r="P376" s="161">
        <v>0</v>
      </c>
      <c r="Q376" s="161">
        <v>0</v>
      </c>
      <c r="R376" s="119"/>
    </row>
    <row r="377" spans="2:20" ht="15.75" x14ac:dyDescent="0.25">
      <c r="B377" s="143" t="s">
        <v>214</v>
      </c>
      <c r="C377" s="146">
        <v>1</v>
      </c>
      <c r="D377" s="146">
        <v>2</v>
      </c>
      <c r="E377" s="146">
        <v>1</v>
      </c>
      <c r="F377" s="146">
        <v>635</v>
      </c>
      <c r="G377" s="143" t="s">
        <v>35</v>
      </c>
      <c r="H377" s="178" t="s">
        <v>170</v>
      </c>
      <c r="I377" s="161">
        <v>3755.7</v>
      </c>
      <c r="J377" s="161">
        <v>924.6</v>
      </c>
      <c r="K377" s="161">
        <v>0</v>
      </c>
      <c r="L377" s="161">
        <v>0</v>
      </c>
      <c r="M377" s="183">
        <v>0</v>
      </c>
      <c r="N377" s="172">
        <v>500</v>
      </c>
      <c r="O377" s="186">
        <f t="shared" si="49"/>
        <v>500</v>
      </c>
      <c r="P377" s="161">
        <v>1000</v>
      </c>
      <c r="Q377" s="161">
        <v>1000</v>
      </c>
      <c r="R377" s="119"/>
    </row>
    <row r="378" spans="2:20" ht="15.75" x14ac:dyDescent="0.25">
      <c r="B378" s="143" t="s">
        <v>214</v>
      </c>
      <c r="C378" s="146">
        <v>1</v>
      </c>
      <c r="D378" s="146">
        <v>2</v>
      </c>
      <c r="E378" s="146">
        <v>1</v>
      </c>
      <c r="F378" s="146">
        <v>637</v>
      </c>
      <c r="G378" s="143" t="s">
        <v>34</v>
      </c>
      <c r="H378" s="146" t="s">
        <v>111</v>
      </c>
      <c r="I378" s="161">
        <v>0</v>
      </c>
      <c r="J378" s="161">
        <v>274.8</v>
      </c>
      <c r="K378" s="161">
        <v>200</v>
      </c>
      <c r="L378" s="161">
        <v>300</v>
      </c>
      <c r="M378" s="183"/>
      <c r="N378" s="172">
        <v>300</v>
      </c>
      <c r="O378" s="186">
        <f t="shared" si="49"/>
        <v>300</v>
      </c>
      <c r="P378" s="161">
        <v>350</v>
      </c>
      <c r="Q378" s="161">
        <v>380</v>
      </c>
      <c r="R378" s="119"/>
    </row>
    <row r="379" spans="2:20" ht="15.75" x14ac:dyDescent="0.25">
      <c r="B379" s="143" t="s">
        <v>214</v>
      </c>
      <c r="C379" s="146">
        <v>1</v>
      </c>
      <c r="D379" s="146">
        <v>2</v>
      </c>
      <c r="E379" s="146">
        <v>1</v>
      </c>
      <c r="F379" s="146">
        <v>637</v>
      </c>
      <c r="G379" s="143" t="s">
        <v>126</v>
      </c>
      <c r="H379" s="146" t="s">
        <v>382</v>
      </c>
      <c r="I379" s="161">
        <v>729.72</v>
      </c>
      <c r="J379" s="161">
        <v>0</v>
      </c>
      <c r="K379" s="161">
        <v>0</v>
      </c>
      <c r="L379" s="161">
        <v>0</v>
      </c>
      <c r="M379" s="183">
        <v>0</v>
      </c>
      <c r="N379" s="172">
        <v>0</v>
      </c>
      <c r="O379" s="186">
        <f t="shared" si="49"/>
        <v>0</v>
      </c>
      <c r="P379" s="161">
        <v>0</v>
      </c>
      <c r="Q379" s="161">
        <v>0</v>
      </c>
      <c r="R379" s="119"/>
    </row>
    <row r="380" spans="2:20" ht="15.75" x14ac:dyDescent="0.25">
      <c r="B380" s="143" t="s">
        <v>214</v>
      </c>
      <c r="C380" s="146">
        <v>1</v>
      </c>
      <c r="D380" s="146">
        <v>2</v>
      </c>
      <c r="E380" s="146">
        <v>1</v>
      </c>
      <c r="F380" s="146">
        <v>637</v>
      </c>
      <c r="G380" s="143" t="s">
        <v>38</v>
      </c>
      <c r="H380" s="226" t="s">
        <v>222</v>
      </c>
      <c r="I380" s="161">
        <v>0</v>
      </c>
      <c r="J380" s="161">
        <v>0</v>
      </c>
      <c r="K380" s="161">
        <v>0</v>
      </c>
      <c r="L380" s="161">
        <v>0</v>
      </c>
      <c r="M380" s="183">
        <v>0</v>
      </c>
      <c r="N380" s="172">
        <v>0</v>
      </c>
      <c r="O380" s="186">
        <f t="shared" si="49"/>
        <v>0</v>
      </c>
      <c r="P380" s="161">
        <v>0</v>
      </c>
      <c r="Q380" s="161">
        <v>0</v>
      </c>
      <c r="R380" s="119"/>
    </row>
    <row r="381" spans="2:20" ht="15.75" x14ac:dyDescent="0.25">
      <c r="B381" s="207" t="s">
        <v>214</v>
      </c>
      <c r="C381" s="166">
        <v>1</v>
      </c>
      <c r="D381" s="166">
        <v>2</v>
      </c>
      <c r="E381" s="166">
        <v>1</v>
      </c>
      <c r="F381" s="166">
        <v>642</v>
      </c>
      <c r="G381" s="207" t="s">
        <v>127</v>
      </c>
      <c r="H381" s="27" t="s">
        <v>391</v>
      </c>
      <c r="I381" s="167">
        <v>0</v>
      </c>
      <c r="J381" s="167">
        <v>0</v>
      </c>
      <c r="K381" s="167">
        <v>0</v>
      </c>
      <c r="L381" s="167">
        <v>0</v>
      </c>
      <c r="M381" s="185">
        <v>0</v>
      </c>
      <c r="N381" s="173">
        <v>5200</v>
      </c>
      <c r="O381" s="186">
        <f>N381+M381</f>
        <v>5200</v>
      </c>
      <c r="P381" s="167">
        <v>5240</v>
      </c>
      <c r="Q381" s="167">
        <v>5250</v>
      </c>
      <c r="R381" s="119"/>
    </row>
    <row r="382" spans="2:20" ht="16.5" thickBot="1" x14ac:dyDescent="0.3">
      <c r="B382" s="207" t="s">
        <v>214</v>
      </c>
      <c r="C382" s="166">
        <v>1</v>
      </c>
      <c r="D382" s="166">
        <v>2</v>
      </c>
      <c r="E382" s="166">
        <v>1</v>
      </c>
      <c r="F382" s="166">
        <v>642</v>
      </c>
      <c r="G382" s="207" t="s">
        <v>135</v>
      </c>
      <c r="H382" s="166" t="s">
        <v>221</v>
      </c>
      <c r="I382" s="167">
        <v>0</v>
      </c>
      <c r="J382" s="167">
        <v>0</v>
      </c>
      <c r="K382" s="167">
        <v>0</v>
      </c>
      <c r="L382" s="167">
        <v>0</v>
      </c>
      <c r="M382" s="185">
        <v>0</v>
      </c>
      <c r="N382" s="173">
        <v>0</v>
      </c>
      <c r="O382" s="186">
        <f>N382+M382</f>
        <v>0</v>
      </c>
      <c r="P382" s="167">
        <v>0</v>
      </c>
      <c r="Q382" s="167">
        <v>0</v>
      </c>
      <c r="R382" s="119"/>
    </row>
    <row r="383" spans="2:20" ht="18.75" customHeight="1" thickBot="1" x14ac:dyDescent="0.35">
      <c r="B383" s="426" t="s">
        <v>220</v>
      </c>
      <c r="C383" s="427"/>
      <c r="D383" s="427"/>
      <c r="E383" s="427"/>
      <c r="F383" s="427"/>
      <c r="G383" s="427"/>
      <c r="H383" s="428"/>
      <c r="I383" s="40">
        <f t="shared" ref="I383:Q383" si="50">SUM(I365:I382)</f>
        <v>44899.729999999996</v>
      </c>
      <c r="J383" s="40">
        <f>SUM(J365:J382)</f>
        <v>13075.8</v>
      </c>
      <c r="K383" s="176">
        <f>SUM(K365:K382)</f>
        <v>14700</v>
      </c>
      <c r="L383" s="176">
        <f>SUM(L365:L382)</f>
        <v>19693.41</v>
      </c>
      <c r="M383" s="77">
        <f t="shared" ref="M383:N383" si="51">SUM(M365:M382)</f>
        <v>0</v>
      </c>
      <c r="N383" s="77">
        <f t="shared" si="51"/>
        <v>33900</v>
      </c>
      <c r="O383" s="77">
        <f>SUM(O365:O382)</f>
        <v>33900</v>
      </c>
      <c r="P383" s="52">
        <f>SUM(P365:P382)</f>
        <v>35090</v>
      </c>
      <c r="Q383" s="40">
        <f t="shared" si="50"/>
        <v>35130</v>
      </c>
      <c r="R383" s="119"/>
      <c r="T383" s="119"/>
    </row>
    <row r="384" spans="2:20" ht="19.5" thickBot="1" x14ac:dyDescent="0.35">
      <c r="R384" s="119"/>
      <c r="T384" s="119"/>
    </row>
    <row r="385" spans="2:20" ht="20.25" thickBot="1" x14ac:dyDescent="0.3">
      <c r="B385" s="399" t="s">
        <v>227</v>
      </c>
      <c r="C385" s="400"/>
      <c r="D385" s="400"/>
      <c r="E385" s="400"/>
      <c r="F385" s="400"/>
      <c r="G385" s="400"/>
      <c r="H385" s="400"/>
      <c r="I385" s="400"/>
      <c r="J385" s="400"/>
      <c r="K385" s="400"/>
      <c r="L385" s="400"/>
      <c r="M385" s="400"/>
      <c r="N385" s="400"/>
      <c r="O385" s="400"/>
      <c r="P385" s="400"/>
      <c r="Q385" s="401"/>
      <c r="T385" s="119"/>
    </row>
    <row r="386" spans="2:20" ht="16.5" customHeight="1" thickBot="1" x14ac:dyDescent="0.3">
      <c r="B386" s="402" t="s">
        <v>64</v>
      </c>
      <c r="C386" s="402" t="s">
        <v>65</v>
      </c>
      <c r="D386" s="402" t="s">
        <v>66</v>
      </c>
      <c r="E386" s="402" t="s">
        <v>67</v>
      </c>
      <c r="F386" s="402" t="s">
        <v>24</v>
      </c>
      <c r="G386" s="405" t="s">
        <v>25</v>
      </c>
      <c r="H386" s="402" t="s">
        <v>22</v>
      </c>
      <c r="I386" s="397" t="s">
        <v>68</v>
      </c>
      <c r="J386" s="397" t="s">
        <v>303</v>
      </c>
      <c r="K386" s="397" t="s">
        <v>365</v>
      </c>
      <c r="L386" s="397" t="s">
        <v>364</v>
      </c>
      <c r="M386" s="423" t="s">
        <v>18</v>
      </c>
      <c r="N386" s="424"/>
      <c r="O386" s="424"/>
      <c r="P386" s="424"/>
      <c r="Q386" s="425"/>
      <c r="R386" s="421" t="s">
        <v>0</v>
      </c>
      <c r="S386" s="397" t="s">
        <v>294</v>
      </c>
      <c r="T386" s="119"/>
    </row>
    <row r="387" spans="2:20" ht="33.75" customHeight="1" thickBot="1" x14ac:dyDescent="0.3">
      <c r="B387" s="403"/>
      <c r="C387" s="403"/>
      <c r="D387" s="404"/>
      <c r="E387" s="404"/>
      <c r="F387" s="403"/>
      <c r="G387" s="406"/>
      <c r="H387" s="404"/>
      <c r="I387" s="407"/>
      <c r="J387" s="407"/>
      <c r="K387" s="398"/>
      <c r="L387" s="408"/>
      <c r="M387" s="72">
        <v>111</v>
      </c>
      <c r="N387" s="277" t="s">
        <v>295</v>
      </c>
      <c r="O387" s="277" t="s">
        <v>296</v>
      </c>
      <c r="P387" s="72">
        <v>41</v>
      </c>
      <c r="Q387" s="73" t="s">
        <v>106</v>
      </c>
      <c r="R387" s="422"/>
      <c r="S387" s="407"/>
      <c r="T387" s="119"/>
    </row>
    <row r="388" spans="2:20" ht="16.5" thickBot="1" x14ac:dyDescent="0.3">
      <c r="B388" s="55" t="s">
        <v>70</v>
      </c>
      <c r="C388" s="67" t="s">
        <v>71</v>
      </c>
      <c r="D388" s="47" t="s">
        <v>72</v>
      </c>
      <c r="E388" s="55" t="s">
        <v>73</v>
      </c>
      <c r="F388" s="56" t="s">
        <v>74</v>
      </c>
      <c r="G388" s="66" t="s">
        <v>75</v>
      </c>
      <c r="H388" s="47" t="s">
        <v>76</v>
      </c>
      <c r="I388" s="54">
        <v>1</v>
      </c>
      <c r="J388" s="54">
        <v>2</v>
      </c>
      <c r="K388" s="54" t="s">
        <v>152</v>
      </c>
      <c r="L388" s="54" t="s">
        <v>366</v>
      </c>
      <c r="M388" s="75" t="s">
        <v>336</v>
      </c>
      <c r="N388" s="75" t="s">
        <v>337</v>
      </c>
      <c r="O388" s="75" t="s">
        <v>338</v>
      </c>
      <c r="P388" s="75" t="s">
        <v>340</v>
      </c>
      <c r="Q388" s="75" t="s">
        <v>340</v>
      </c>
      <c r="R388" s="59" t="s">
        <v>238</v>
      </c>
      <c r="S388" s="54" t="s">
        <v>383</v>
      </c>
      <c r="T388" s="119"/>
    </row>
    <row r="389" spans="2:20" ht="15.75" x14ac:dyDescent="0.25">
      <c r="B389" s="142" t="s">
        <v>214</v>
      </c>
      <c r="C389" s="145">
        <v>1</v>
      </c>
      <c r="D389" s="145">
        <v>2</v>
      </c>
      <c r="E389" s="145">
        <v>1</v>
      </c>
      <c r="F389" s="145">
        <v>611</v>
      </c>
      <c r="G389" s="142"/>
      <c r="H389" s="145" t="s">
        <v>140</v>
      </c>
      <c r="I389" s="160">
        <v>49108.07</v>
      </c>
      <c r="J389" s="160">
        <v>52257.9</v>
      </c>
      <c r="K389" s="262">
        <v>49147</v>
      </c>
      <c r="L389" s="339">
        <v>50307.54</v>
      </c>
      <c r="M389" s="189">
        <v>64682</v>
      </c>
      <c r="N389" s="190">
        <v>0</v>
      </c>
      <c r="O389" s="190">
        <v>0</v>
      </c>
      <c r="P389" s="190">
        <v>0</v>
      </c>
      <c r="Q389" s="184">
        <f t="shared" ref="Q389:Q409" si="52">P389+M389+O389+N389</f>
        <v>64682</v>
      </c>
      <c r="R389" s="212">
        <v>64002</v>
      </c>
      <c r="S389" s="160">
        <v>64002</v>
      </c>
      <c r="T389" s="119"/>
    </row>
    <row r="390" spans="2:20" ht="15.75" x14ac:dyDescent="0.25">
      <c r="B390" s="225" t="s">
        <v>214</v>
      </c>
      <c r="C390" s="226">
        <v>1</v>
      </c>
      <c r="D390" s="226">
        <v>2</v>
      </c>
      <c r="E390" s="226">
        <v>1</v>
      </c>
      <c r="F390" s="226">
        <v>614</v>
      </c>
      <c r="G390" s="225"/>
      <c r="H390" s="226" t="s">
        <v>141</v>
      </c>
      <c r="I390" s="213">
        <v>0</v>
      </c>
      <c r="J390" s="213">
        <v>0</v>
      </c>
      <c r="K390" s="263">
        <v>0</v>
      </c>
      <c r="L390" s="340">
        <v>0</v>
      </c>
      <c r="M390" s="183">
        <v>0</v>
      </c>
      <c r="N390" s="172">
        <v>0</v>
      </c>
      <c r="O390" s="172">
        <v>0</v>
      </c>
      <c r="P390" s="172">
        <v>0</v>
      </c>
      <c r="Q390" s="184">
        <f t="shared" si="52"/>
        <v>0</v>
      </c>
      <c r="R390" s="154">
        <v>0</v>
      </c>
      <c r="S390" s="213">
        <v>0</v>
      </c>
      <c r="T390" s="119"/>
    </row>
    <row r="391" spans="2:20" ht="15.75" x14ac:dyDescent="0.25">
      <c r="B391" s="225" t="s">
        <v>214</v>
      </c>
      <c r="C391" s="226">
        <v>1</v>
      </c>
      <c r="D391" s="226">
        <v>2</v>
      </c>
      <c r="E391" s="226">
        <v>1</v>
      </c>
      <c r="F391" s="226">
        <v>621</v>
      </c>
      <c r="G391" s="225"/>
      <c r="H391" s="226" t="s">
        <v>375</v>
      </c>
      <c r="I391" s="213">
        <v>3260.77</v>
      </c>
      <c r="J391" s="213">
        <v>4800.12</v>
      </c>
      <c r="K391" s="263">
        <v>15994</v>
      </c>
      <c r="L391" s="340">
        <v>3116.22</v>
      </c>
      <c r="M391" s="183">
        <v>5174.5600000000004</v>
      </c>
      <c r="N391" s="172">
        <v>0</v>
      </c>
      <c r="O391" s="172">
        <v>0</v>
      </c>
      <c r="P391" s="172">
        <v>0</v>
      </c>
      <c r="Q391" s="184">
        <f t="shared" si="52"/>
        <v>5174.5600000000004</v>
      </c>
      <c r="R391" s="154">
        <v>5120</v>
      </c>
      <c r="S391" s="213">
        <v>5120</v>
      </c>
      <c r="T391" s="119"/>
    </row>
    <row r="392" spans="2:20" ht="15.75" x14ac:dyDescent="0.25">
      <c r="B392" s="225" t="s">
        <v>214</v>
      </c>
      <c r="C392" s="226">
        <v>1</v>
      </c>
      <c r="D392" s="226">
        <v>2</v>
      </c>
      <c r="E392" s="226">
        <v>1</v>
      </c>
      <c r="F392" s="226">
        <v>623</v>
      </c>
      <c r="G392" s="225"/>
      <c r="H392" s="146" t="s">
        <v>376</v>
      </c>
      <c r="I392" s="213">
        <v>1629.78</v>
      </c>
      <c r="J392" s="213">
        <v>450.35</v>
      </c>
      <c r="K392" s="263">
        <v>0</v>
      </c>
      <c r="L392" s="340">
        <v>2032.9</v>
      </c>
      <c r="M392" s="183">
        <v>1293.6400000000001</v>
      </c>
      <c r="N392" s="172">
        <v>0</v>
      </c>
      <c r="O392" s="172">
        <v>0</v>
      </c>
      <c r="P392" s="172">
        <v>0</v>
      </c>
      <c r="Q392" s="184">
        <f t="shared" si="52"/>
        <v>1293.6400000000001</v>
      </c>
      <c r="R392" s="154">
        <v>1280</v>
      </c>
      <c r="S392" s="213">
        <v>1280</v>
      </c>
      <c r="T392" s="119"/>
    </row>
    <row r="393" spans="2:20" ht="15.75" x14ac:dyDescent="0.25">
      <c r="B393" s="225" t="s">
        <v>214</v>
      </c>
      <c r="C393" s="226">
        <v>1</v>
      </c>
      <c r="D393" s="226">
        <v>2</v>
      </c>
      <c r="E393" s="226">
        <v>1</v>
      </c>
      <c r="F393" s="226">
        <v>625</v>
      </c>
      <c r="G393" s="225" t="s">
        <v>30</v>
      </c>
      <c r="H393" s="146" t="s">
        <v>321</v>
      </c>
      <c r="I393" s="213">
        <v>679.94</v>
      </c>
      <c r="J393" s="213">
        <v>742.56</v>
      </c>
      <c r="K393" s="263">
        <v>0</v>
      </c>
      <c r="L393" s="340">
        <v>706.08</v>
      </c>
      <c r="M393" s="183">
        <v>905.548</v>
      </c>
      <c r="N393" s="172">
        <v>0</v>
      </c>
      <c r="O393" s="172">
        <v>0</v>
      </c>
      <c r="P393" s="172">
        <v>0</v>
      </c>
      <c r="Q393" s="184">
        <f t="shared" si="52"/>
        <v>905.548</v>
      </c>
      <c r="R393" s="154">
        <v>900</v>
      </c>
      <c r="S393" s="213">
        <v>900</v>
      </c>
      <c r="T393" s="119"/>
    </row>
    <row r="394" spans="2:20" ht="15.75" x14ac:dyDescent="0.25">
      <c r="B394" s="225" t="s">
        <v>214</v>
      </c>
      <c r="C394" s="226">
        <v>1</v>
      </c>
      <c r="D394" s="226">
        <v>2</v>
      </c>
      <c r="E394" s="226">
        <v>1</v>
      </c>
      <c r="F394" s="226">
        <v>625</v>
      </c>
      <c r="G394" s="225" t="s">
        <v>31</v>
      </c>
      <c r="H394" s="146" t="s">
        <v>322</v>
      </c>
      <c r="I394" s="213">
        <v>6801.24</v>
      </c>
      <c r="J394" s="213">
        <v>7427.97</v>
      </c>
      <c r="K394" s="263">
        <v>0</v>
      </c>
      <c r="L394" s="340">
        <v>7051.65</v>
      </c>
      <c r="M394" s="183">
        <v>9055.4800000000014</v>
      </c>
      <c r="N394" s="172">
        <v>0</v>
      </c>
      <c r="O394" s="172">
        <v>0</v>
      </c>
      <c r="P394" s="172">
        <v>0</v>
      </c>
      <c r="Q394" s="184">
        <f t="shared" si="52"/>
        <v>9055.4800000000014</v>
      </c>
      <c r="R394" s="154">
        <v>8960</v>
      </c>
      <c r="S394" s="213">
        <v>8960</v>
      </c>
      <c r="T394" s="119"/>
    </row>
    <row r="395" spans="2:20" ht="15.75" x14ac:dyDescent="0.25">
      <c r="B395" s="143" t="s">
        <v>214</v>
      </c>
      <c r="C395" s="146">
        <v>1</v>
      </c>
      <c r="D395" s="146">
        <v>2</v>
      </c>
      <c r="E395" s="146">
        <v>1</v>
      </c>
      <c r="F395" s="146">
        <v>625</v>
      </c>
      <c r="G395" s="143" t="s">
        <v>29</v>
      </c>
      <c r="H395" s="146" t="s">
        <v>323</v>
      </c>
      <c r="I395" s="161">
        <v>387.86</v>
      </c>
      <c r="J395" s="161">
        <v>424.13</v>
      </c>
      <c r="K395" s="264">
        <v>0</v>
      </c>
      <c r="L395" s="341">
        <v>403.38</v>
      </c>
      <c r="M395" s="183">
        <v>517.45600000000002</v>
      </c>
      <c r="N395" s="172">
        <v>0</v>
      </c>
      <c r="O395" s="172">
        <v>0</v>
      </c>
      <c r="P395" s="172">
        <v>0</v>
      </c>
      <c r="Q395" s="184">
        <f t="shared" si="52"/>
        <v>517.45600000000002</v>
      </c>
      <c r="R395" s="155">
        <v>515</v>
      </c>
      <c r="S395" s="161">
        <v>515</v>
      </c>
      <c r="T395" s="119"/>
    </row>
    <row r="396" spans="2:20" ht="15.75" x14ac:dyDescent="0.25">
      <c r="B396" s="225" t="s">
        <v>214</v>
      </c>
      <c r="C396" s="226">
        <v>1</v>
      </c>
      <c r="D396" s="226">
        <v>2</v>
      </c>
      <c r="E396" s="226">
        <v>1</v>
      </c>
      <c r="F396" s="226">
        <v>625</v>
      </c>
      <c r="G396" s="225" t="s">
        <v>34</v>
      </c>
      <c r="H396" s="146" t="s">
        <v>324</v>
      </c>
      <c r="I396" s="213">
        <v>1457.23</v>
      </c>
      <c r="J396" s="213">
        <v>1591.57</v>
      </c>
      <c r="K396" s="263">
        <v>0</v>
      </c>
      <c r="L396" s="340">
        <v>1514.3</v>
      </c>
      <c r="M396" s="183">
        <v>1940.46</v>
      </c>
      <c r="N396" s="172">
        <v>0</v>
      </c>
      <c r="O396" s="172">
        <v>0</v>
      </c>
      <c r="P396" s="172">
        <v>0</v>
      </c>
      <c r="Q396" s="184">
        <f t="shared" si="52"/>
        <v>1940.46</v>
      </c>
      <c r="R396" s="154">
        <v>1920</v>
      </c>
      <c r="S396" s="213">
        <v>1920</v>
      </c>
      <c r="T396" s="119"/>
    </row>
    <row r="397" spans="2:20" ht="15.75" x14ac:dyDescent="0.25">
      <c r="B397" s="225" t="s">
        <v>214</v>
      </c>
      <c r="C397" s="226">
        <v>1</v>
      </c>
      <c r="D397" s="226">
        <v>2</v>
      </c>
      <c r="E397" s="226">
        <v>1</v>
      </c>
      <c r="F397" s="226">
        <v>625</v>
      </c>
      <c r="G397" s="225" t="s">
        <v>107</v>
      </c>
      <c r="H397" s="146" t="s">
        <v>325</v>
      </c>
      <c r="I397" s="213">
        <v>485.29</v>
      </c>
      <c r="J397" s="213">
        <v>530.36</v>
      </c>
      <c r="K397" s="263">
        <v>0</v>
      </c>
      <c r="L397" s="340">
        <v>502.22</v>
      </c>
      <c r="M397" s="183">
        <v>646.82000000000005</v>
      </c>
      <c r="N397" s="172">
        <v>0</v>
      </c>
      <c r="O397" s="172">
        <v>0</v>
      </c>
      <c r="P397" s="172">
        <v>0</v>
      </c>
      <c r="Q397" s="184">
        <f t="shared" si="52"/>
        <v>646.82000000000005</v>
      </c>
      <c r="R397" s="154">
        <v>640</v>
      </c>
      <c r="S397" s="213">
        <v>640</v>
      </c>
      <c r="T397" s="119"/>
    </row>
    <row r="398" spans="2:20" ht="15.75" x14ac:dyDescent="0.25">
      <c r="B398" s="225" t="s">
        <v>214</v>
      </c>
      <c r="C398" s="226">
        <v>1</v>
      </c>
      <c r="D398" s="226">
        <v>2</v>
      </c>
      <c r="E398" s="226">
        <v>1</v>
      </c>
      <c r="F398" s="226">
        <v>625</v>
      </c>
      <c r="G398" s="225" t="s">
        <v>108</v>
      </c>
      <c r="H398" s="146" t="s">
        <v>326</v>
      </c>
      <c r="I398" s="213">
        <v>2307</v>
      </c>
      <c r="J398" s="213">
        <v>2520.02</v>
      </c>
      <c r="K398" s="263">
        <v>0</v>
      </c>
      <c r="L398" s="340">
        <v>2403.38</v>
      </c>
      <c r="M398" s="183">
        <v>3072.395</v>
      </c>
      <c r="N398" s="172">
        <v>0</v>
      </c>
      <c r="O398" s="172">
        <v>0</v>
      </c>
      <c r="P398" s="172">
        <v>0</v>
      </c>
      <c r="Q398" s="184">
        <f t="shared" si="52"/>
        <v>3072.395</v>
      </c>
      <c r="R398" s="154">
        <v>3040</v>
      </c>
      <c r="S398" s="213">
        <v>3040</v>
      </c>
      <c r="T398" s="119"/>
    </row>
    <row r="399" spans="2:20" ht="15.75" x14ac:dyDescent="0.25">
      <c r="B399" s="143" t="s">
        <v>214</v>
      </c>
      <c r="C399" s="146">
        <v>1</v>
      </c>
      <c r="D399" s="146">
        <v>2</v>
      </c>
      <c r="E399" s="146">
        <v>1</v>
      </c>
      <c r="F399" s="146">
        <v>627</v>
      </c>
      <c r="G399" s="143"/>
      <c r="H399" s="146" t="s">
        <v>327</v>
      </c>
      <c r="I399" s="161">
        <v>732.59</v>
      </c>
      <c r="J399" s="161">
        <v>1038.26</v>
      </c>
      <c r="K399" s="264">
        <v>0</v>
      </c>
      <c r="L399" s="341">
        <v>924.02</v>
      </c>
      <c r="M399" s="183">
        <v>1293.6400000000001</v>
      </c>
      <c r="N399" s="172">
        <v>0</v>
      </c>
      <c r="O399" s="172">
        <v>0</v>
      </c>
      <c r="P399" s="172">
        <v>0</v>
      </c>
      <c r="Q399" s="184">
        <f t="shared" si="52"/>
        <v>1293.6400000000001</v>
      </c>
      <c r="R399" s="155">
        <v>1280</v>
      </c>
      <c r="S399" s="161">
        <v>1280</v>
      </c>
      <c r="T399" s="119"/>
    </row>
    <row r="400" spans="2:20" ht="15.75" x14ac:dyDescent="0.25">
      <c r="B400" s="143" t="s">
        <v>214</v>
      </c>
      <c r="C400" s="146">
        <v>1</v>
      </c>
      <c r="D400" s="146">
        <v>2</v>
      </c>
      <c r="E400" s="146">
        <v>1</v>
      </c>
      <c r="F400" s="146">
        <v>632</v>
      </c>
      <c r="G400" s="143" t="s">
        <v>107</v>
      </c>
      <c r="H400" s="146" t="s">
        <v>165</v>
      </c>
      <c r="I400" s="161">
        <v>178.66</v>
      </c>
      <c r="J400" s="161">
        <v>179.47</v>
      </c>
      <c r="K400" s="264">
        <v>180</v>
      </c>
      <c r="L400" s="264">
        <v>95.67</v>
      </c>
      <c r="M400" s="183">
        <v>0</v>
      </c>
      <c r="N400" s="172">
        <v>0</v>
      </c>
      <c r="O400" s="172">
        <v>0</v>
      </c>
      <c r="P400" s="172">
        <v>150</v>
      </c>
      <c r="Q400" s="184">
        <f t="shared" si="52"/>
        <v>150</v>
      </c>
      <c r="R400" s="155">
        <v>150</v>
      </c>
      <c r="S400" s="161">
        <v>150</v>
      </c>
      <c r="T400" s="119"/>
    </row>
    <row r="401" spans="2:20" ht="15.75" x14ac:dyDescent="0.25">
      <c r="B401" s="143" t="s">
        <v>214</v>
      </c>
      <c r="C401" s="146">
        <v>1</v>
      </c>
      <c r="D401" s="146">
        <v>2</v>
      </c>
      <c r="E401" s="146">
        <v>1</v>
      </c>
      <c r="F401" s="146">
        <v>633</v>
      </c>
      <c r="G401" s="143" t="s">
        <v>30</v>
      </c>
      <c r="H401" s="146" t="s">
        <v>87</v>
      </c>
      <c r="I401" s="161">
        <v>0</v>
      </c>
      <c r="J401" s="161">
        <v>3076.6</v>
      </c>
      <c r="K401" s="264">
        <f>1500+1467</f>
        <v>2967</v>
      </c>
      <c r="L401" s="264">
        <v>880</v>
      </c>
      <c r="M401" s="183">
        <v>0</v>
      </c>
      <c r="N401" s="172">
        <v>0</v>
      </c>
      <c r="O401" s="172">
        <v>0</v>
      </c>
      <c r="P401" s="172">
        <v>152</v>
      </c>
      <c r="Q401" s="184">
        <f t="shared" si="52"/>
        <v>152</v>
      </c>
      <c r="R401" s="155">
        <v>0</v>
      </c>
      <c r="S401" s="161">
        <v>200</v>
      </c>
      <c r="T401" s="119"/>
    </row>
    <row r="402" spans="2:20" ht="15.75" x14ac:dyDescent="0.25">
      <c r="B402" s="143" t="s">
        <v>214</v>
      </c>
      <c r="C402" s="146">
        <v>1</v>
      </c>
      <c r="D402" s="146">
        <v>2</v>
      </c>
      <c r="E402" s="146">
        <v>1</v>
      </c>
      <c r="F402" s="146">
        <v>633</v>
      </c>
      <c r="G402" s="143" t="s">
        <v>31</v>
      </c>
      <c r="H402" s="146" t="s">
        <v>88</v>
      </c>
      <c r="I402" s="161">
        <v>498</v>
      </c>
      <c r="J402" s="161">
        <v>1029</v>
      </c>
      <c r="K402" s="264">
        <v>0</v>
      </c>
      <c r="L402" s="264">
        <v>0</v>
      </c>
      <c r="M402" s="183">
        <v>0</v>
      </c>
      <c r="N402" s="172">
        <v>0</v>
      </c>
      <c r="O402" s="172">
        <v>0</v>
      </c>
      <c r="P402" s="172">
        <v>800</v>
      </c>
      <c r="Q402" s="184">
        <f t="shared" si="52"/>
        <v>800</v>
      </c>
      <c r="R402" s="155">
        <v>800</v>
      </c>
      <c r="S402" s="161">
        <v>800</v>
      </c>
      <c r="T402" s="119"/>
    </row>
    <row r="403" spans="2:20" ht="15.75" x14ac:dyDescent="0.25">
      <c r="B403" s="143" t="s">
        <v>214</v>
      </c>
      <c r="C403" s="146">
        <v>1</v>
      </c>
      <c r="D403" s="146">
        <v>2</v>
      </c>
      <c r="E403" s="146">
        <v>1</v>
      </c>
      <c r="F403" s="146">
        <v>633</v>
      </c>
      <c r="G403" s="143" t="s">
        <v>35</v>
      </c>
      <c r="H403" s="146" t="s">
        <v>90</v>
      </c>
      <c r="I403" s="161">
        <v>0</v>
      </c>
      <c r="J403" s="161">
        <v>267.77999999999997</v>
      </c>
      <c r="K403" s="264">
        <v>0</v>
      </c>
      <c r="L403" s="264">
        <v>380.32</v>
      </c>
      <c r="M403" s="183">
        <v>0</v>
      </c>
      <c r="N403" s="172">
        <v>0</v>
      </c>
      <c r="O403" s="172">
        <v>0</v>
      </c>
      <c r="P403" s="172">
        <v>400</v>
      </c>
      <c r="Q403" s="184">
        <f t="shared" si="52"/>
        <v>400</v>
      </c>
      <c r="R403" s="155">
        <v>400</v>
      </c>
      <c r="S403" s="161">
        <v>400</v>
      </c>
      <c r="T403" s="119"/>
    </row>
    <row r="404" spans="2:20" ht="31.5" x14ac:dyDescent="0.25">
      <c r="B404" s="143" t="s">
        <v>214</v>
      </c>
      <c r="C404" s="146">
        <v>1</v>
      </c>
      <c r="D404" s="146">
        <v>2</v>
      </c>
      <c r="E404" s="146">
        <v>1</v>
      </c>
      <c r="F404" s="146">
        <v>633</v>
      </c>
      <c r="G404" s="143" t="s">
        <v>124</v>
      </c>
      <c r="H404" s="178" t="s">
        <v>225</v>
      </c>
      <c r="I404" s="161">
        <v>897.3</v>
      </c>
      <c r="J404" s="161">
        <v>1087.8399999999999</v>
      </c>
      <c r="K404" s="264">
        <f>1020</f>
        <v>1020</v>
      </c>
      <c r="L404" s="264">
        <f>1222.3+270.91+27.09+182.3</f>
        <v>1702.6</v>
      </c>
      <c r="M404" s="183">
        <v>768</v>
      </c>
      <c r="N404" s="172">
        <v>270.91000000000003</v>
      </c>
      <c r="O404" s="172">
        <v>27.09</v>
      </c>
      <c r="P404" s="172">
        <v>0</v>
      </c>
      <c r="Q404" s="184">
        <f t="shared" si="52"/>
        <v>1066</v>
      </c>
      <c r="R404" s="155">
        <v>1070</v>
      </c>
      <c r="S404" s="161">
        <v>1070</v>
      </c>
      <c r="T404" s="119"/>
    </row>
    <row r="405" spans="2:20" ht="15.75" x14ac:dyDescent="0.25">
      <c r="B405" s="143" t="s">
        <v>214</v>
      </c>
      <c r="C405" s="146">
        <v>1</v>
      </c>
      <c r="D405" s="146">
        <v>2</v>
      </c>
      <c r="E405" s="146">
        <v>1</v>
      </c>
      <c r="F405" s="146">
        <v>633</v>
      </c>
      <c r="G405" s="143" t="s">
        <v>33</v>
      </c>
      <c r="H405" s="146" t="s">
        <v>95</v>
      </c>
      <c r="I405" s="161">
        <v>229</v>
      </c>
      <c r="J405" s="161">
        <v>0</v>
      </c>
      <c r="K405" s="264">
        <v>0</v>
      </c>
      <c r="L405" s="264">
        <v>0</v>
      </c>
      <c r="M405" s="183">
        <v>0</v>
      </c>
      <c r="N405" s="172">
        <v>0</v>
      </c>
      <c r="O405" s="172">
        <v>0</v>
      </c>
      <c r="P405" s="172">
        <v>0</v>
      </c>
      <c r="Q405" s="184">
        <f t="shared" si="52"/>
        <v>0</v>
      </c>
      <c r="R405" s="155">
        <v>0</v>
      </c>
      <c r="S405" s="161">
        <v>0</v>
      </c>
      <c r="T405" s="119"/>
    </row>
    <row r="406" spans="2:20" ht="15.75" x14ac:dyDescent="0.25">
      <c r="B406" s="143" t="s">
        <v>214</v>
      </c>
      <c r="C406" s="146">
        <v>1</v>
      </c>
      <c r="D406" s="146">
        <v>2</v>
      </c>
      <c r="E406" s="146">
        <v>1</v>
      </c>
      <c r="F406" s="146">
        <v>635</v>
      </c>
      <c r="G406" s="143" t="s">
        <v>31</v>
      </c>
      <c r="H406" s="146" t="s">
        <v>101</v>
      </c>
      <c r="I406" s="161">
        <v>0</v>
      </c>
      <c r="J406" s="161">
        <v>588</v>
      </c>
      <c r="K406" s="264">
        <v>220</v>
      </c>
      <c r="L406" s="264">
        <v>158</v>
      </c>
      <c r="M406" s="183">
        <v>0</v>
      </c>
      <c r="N406" s="172">
        <v>0</v>
      </c>
      <c r="O406" s="172">
        <v>0</v>
      </c>
      <c r="P406" s="172">
        <v>200</v>
      </c>
      <c r="Q406" s="184">
        <f t="shared" si="52"/>
        <v>200</v>
      </c>
      <c r="R406" s="155">
        <v>400</v>
      </c>
      <c r="S406" s="161">
        <v>400</v>
      </c>
      <c r="T406" s="119"/>
    </row>
    <row r="407" spans="2:20" ht="15.75" x14ac:dyDescent="0.25">
      <c r="B407" s="143" t="s">
        <v>214</v>
      </c>
      <c r="C407" s="146">
        <v>1</v>
      </c>
      <c r="D407" s="146">
        <v>2</v>
      </c>
      <c r="E407" s="146">
        <v>1</v>
      </c>
      <c r="F407" s="146">
        <v>635</v>
      </c>
      <c r="G407" s="143" t="s">
        <v>124</v>
      </c>
      <c r="H407" s="146" t="s">
        <v>226</v>
      </c>
      <c r="I407" s="161">
        <v>0</v>
      </c>
      <c r="J407" s="161">
        <v>249</v>
      </c>
      <c r="K407" s="264">
        <v>500</v>
      </c>
      <c r="L407" s="264">
        <v>0</v>
      </c>
      <c r="M407" s="183">
        <v>0</v>
      </c>
      <c r="N407" s="172">
        <v>0</v>
      </c>
      <c r="O407" s="172">
        <v>0</v>
      </c>
      <c r="P407" s="172">
        <v>0</v>
      </c>
      <c r="Q407" s="184">
        <f t="shared" si="52"/>
        <v>0</v>
      </c>
      <c r="R407" s="155">
        <v>0</v>
      </c>
      <c r="S407" s="161">
        <v>0</v>
      </c>
      <c r="T407" s="119"/>
    </row>
    <row r="408" spans="2:20" ht="31.5" x14ac:dyDescent="0.25">
      <c r="B408" s="143"/>
      <c r="C408" s="146"/>
      <c r="D408" s="146"/>
      <c r="E408" s="146"/>
      <c r="F408" s="146">
        <v>635</v>
      </c>
      <c r="G408" s="143" t="s">
        <v>39</v>
      </c>
      <c r="H408" s="178" t="s">
        <v>359</v>
      </c>
      <c r="I408" s="161">
        <v>0</v>
      </c>
      <c r="J408" s="161">
        <v>0</v>
      </c>
      <c r="K408" s="264">
        <v>0</v>
      </c>
      <c r="L408" s="264">
        <v>454.2</v>
      </c>
      <c r="M408" s="183">
        <v>0</v>
      </c>
      <c r="N408" s="172">
        <v>0</v>
      </c>
      <c r="O408" s="172">
        <v>0</v>
      </c>
      <c r="P408" s="172">
        <v>300</v>
      </c>
      <c r="Q408" s="184">
        <f t="shared" si="52"/>
        <v>300</v>
      </c>
      <c r="R408" s="155">
        <v>300</v>
      </c>
      <c r="S408" s="161">
        <v>300</v>
      </c>
      <c r="T408" s="119"/>
    </row>
    <row r="409" spans="2:20" ht="15.75" x14ac:dyDescent="0.25">
      <c r="B409" s="143" t="s">
        <v>214</v>
      </c>
      <c r="C409" s="146">
        <v>1</v>
      </c>
      <c r="D409" s="146">
        <v>2</v>
      </c>
      <c r="E409" s="146">
        <v>1</v>
      </c>
      <c r="F409" s="146">
        <v>637</v>
      </c>
      <c r="G409" s="143" t="s">
        <v>34</v>
      </c>
      <c r="H409" s="146" t="s">
        <v>396</v>
      </c>
      <c r="I409" s="161">
        <v>0</v>
      </c>
      <c r="J409" s="161">
        <v>0</v>
      </c>
      <c r="K409" s="264">
        <v>3960</v>
      </c>
      <c r="L409" s="264">
        <v>0</v>
      </c>
      <c r="M409" s="183">
        <v>705</v>
      </c>
      <c r="N409" s="172">
        <v>0</v>
      </c>
      <c r="O409" s="172">
        <v>0</v>
      </c>
      <c r="P409" s="172">
        <v>0</v>
      </c>
      <c r="Q409" s="184">
        <f t="shared" si="52"/>
        <v>705</v>
      </c>
      <c r="R409" s="155">
        <v>1320</v>
      </c>
      <c r="S409" s="161">
        <v>1330</v>
      </c>
      <c r="T409" s="119"/>
    </row>
    <row r="410" spans="2:20" ht="15.75" x14ac:dyDescent="0.25">
      <c r="B410" s="143" t="s">
        <v>214</v>
      </c>
      <c r="C410" s="146">
        <v>1</v>
      </c>
      <c r="D410" s="146">
        <v>2</v>
      </c>
      <c r="E410" s="146">
        <v>1</v>
      </c>
      <c r="F410" s="146">
        <v>637</v>
      </c>
      <c r="G410" s="143" t="s">
        <v>108</v>
      </c>
      <c r="H410" s="146" t="s">
        <v>397</v>
      </c>
      <c r="I410" s="213">
        <v>0</v>
      </c>
      <c r="J410" s="213">
        <v>0</v>
      </c>
      <c r="K410" s="263">
        <v>0</v>
      </c>
      <c r="L410" s="263">
        <v>1700</v>
      </c>
      <c r="M410" s="183">
        <v>1700</v>
      </c>
      <c r="N410" s="172">
        <v>0</v>
      </c>
      <c r="O410" s="172">
        <v>0</v>
      </c>
      <c r="P410" s="172">
        <v>0</v>
      </c>
      <c r="Q410" s="177">
        <f>P410+M410+O410+N410</f>
        <v>1700</v>
      </c>
      <c r="R410" s="297">
        <v>1000</v>
      </c>
      <c r="S410" s="297">
        <v>1000</v>
      </c>
      <c r="T410" s="119"/>
    </row>
    <row r="411" spans="2:20" ht="16.5" thickBot="1" x14ac:dyDescent="0.3">
      <c r="B411" s="313" t="s">
        <v>214</v>
      </c>
      <c r="C411" s="27">
        <v>1</v>
      </c>
      <c r="D411" s="27">
        <v>2</v>
      </c>
      <c r="E411" s="27">
        <v>1</v>
      </c>
      <c r="F411" s="27">
        <v>637</v>
      </c>
      <c r="G411" s="313" t="s">
        <v>126</v>
      </c>
      <c r="H411" s="27" t="s">
        <v>382</v>
      </c>
      <c r="I411" s="30">
        <v>0</v>
      </c>
      <c r="J411" s="30">
        <v>465</v>
      </c>
      <c r="K411" s="314">
        <v>220</v>
      </c>
      <c r="L411" s="342">
        <v>444.9</v>
      </c>
      <c r="M411" s="185">
        <v>646.82000000000005</v>
      </c>
      <c r="N411" s="173">
        <v>0</v>
      </c>
      <c r="O411" s="173">
        <v>0</v>
      </c>
      <c r="P411" s="173">
        <v>0</v>
      </c>
      <c r="Q411" s="386">
        <f>P411+M411+O411+N411</f>
        <v>646.82000000000005</v>
      </c>
      <c r="R411" s="299">
        <v>730</v>
      </c>
      <c r="S411" s="299">
        <v>730</v>
      </c>
      <c r="T411" s="119"/>
    </row>
    <row r="412" spans="2:20" ht="20.25" customHeight="1" thickBot="1" x14ac:dyDescent="0.35">
      <c r="B412" s="426" t="s">
        <v>224</v>
      </c>
      <c r="C412" s="427"/>
      <c r="D412" s="427"/>
      <c r="E412" s="427"/>
      <c r="F412" s="427"/>
      <c r="G412" s="427"/>
      <c r="H412" s="427"/>
      <c r="I412" s="40">
        <f t="shared" ref="I412:S412" si="53">SUM(I389:I411)</f>
        <v>68652.73</v>
      </c>
      <c r="J412" s="40">
        <f t="shared" si="53"/>
        <v>78725.930000000008</v>
      </c>
      <c r="K412" s="40">
        <f t="shared" si="53"/>
        <v>74208</v>
      </c>
      <c r="L412" s="40">
        <f t="shared" si="53"/>
        <v>74777.380000000019</v>
      </c>
      <c r="M412" s="77">
        <f>SUM(M389:M411)</f>
        <v>92401.819000000018</v>
      </c>
      <c r="N412" s="77">
        <f t="shared" si="53"/>
        <v>270.91000000000003</v>
      </c>
      <c r="O412" s="77">
        <f t="shared" si="53"/>
        <v>27.09</v>
      </c>
      <c r="P412" s="77">
        <f t="shared" si="53"/>
        <v>2002</v>
      </c>
      <c r="Q412" s="77">
        <f>SUM(Q389:Q411)</f>
        <v>94701.819000000018</v>
      </c>
      <c r="R412" s="40">
        <f>SUM(R389:R411)</f>
        <v>93827</v>
      </c>
      <c r="S412" s="40">
        <f t="shared" si="53"/>
        <v>94037</v>
      </c>
      <c r="T412" s="119"/>
    </row>
    <row r="413" spans="2:20" ht="18.75" customHeight="1" thickBot="1" x14ac:dyDescent="0.35">
      <c r="T413" s="119"/>
    </row>
    <row r="414" spans="2:20" ht="20.25" thickBot="1" x14ac:dyDescent="0.3">
      <c r="B414" s="399" t="s">
        <v>228</v>
      </c>
      <c r="C414" s="400"/>
      <c r="D414" s="400"/>
      <c r="E414" s="400"/>
      <c r="F414" s="400"/>
      <c r="G414" s="400"/>
      <c r="H414" s="400"/>
      <c r="I414" s="400"/>
      <c r="J414" s="400"/>
      <c r="K414" s="400"/>
      <c r="L414" s="400"/>
      <c r="M414" s="400"/>
      <c r="N414" s="400"/>
      <c r="O414" s="400"/>
      <c r="P414" s="400"/>
      <c r="Q414" s="401"/>
      <c r="T414" s="119"/>
    </row>
    <row r="415" spans="2:20" ht="16.5" customHeight="1" thickBot="1" x14ac:dyDescent="0.3">
      <c r="B415" s="402" t="s">
        <v>64</v>
      </c>
      <c r="C415" s="402" t="s">
        <v>65</v>
      </c>
      <c r="D415" s="402" t="s">
        <v>66</v>
      </c>
      <c r="E415" s="402" t="s">
        <v>67</v>
      </c>
      <c r="F415" s="402" t="s">
        <v>24</v>
      </c>
      <c r="G415" s="405" t="s">
        <v>25</v>
      </c>
      <c r="H415" s="402" t="s">
        <v>22</v>
      </c>
      <c r="I415" s="397" t="s">
        <v>68</v>
      </c>
      <c r="J415" s="397" t="s">
        <v>303</v>
      </c>
      <c r="K415" s="397" t="s">
        <v>365</v>
      </c>
      <c r="L415" s="397" t="s">
        <v>364</v>
      </c>
      <c r="M415" s="423" t="s">
        <v>18</v>
      </c>
      <c r="N415" s="424"/>
      <c r="O415" s="424"/>
      <c r="P415" s="424"/>
      <c r="Q415" s="425"/>
      <c r="R415" s="421" t="s">
        <v>0</v>
      </c>
      <c r="S415" s="397" t="s">
        <v>294</v>
      </c>
      <c r="T415" s="119"/>
    </row>
    <row r="416" spans="2:20" ht="33.75" customHeight="1" thickBot="1" x14ac:dyDescent="0.3">
      <c r="B416" s="403"/>
      <c r="C416" s="403"/>
      <c r="D416" s="404"/>
      <c r="E416" s="404"/>
      <c r="F416" s="403"/>
      <c r="G416" s="406"/>
      <c r="H416" s="404"/>
      <c r="I416" s="407"/>
      <c r="J416" s="407"/>
      <c r="K416" s="398"/>
      <c r="L416" s="408"/>
      <c r="M416" s="72">
        <v>111</v>
      </c>
      <c r="N416" s="277" t="s">
        <v>295</v>
      </c>
      <c r="O416" s="277" t="s">
        <v>296</v>
      </c>
      <c r="P416" s="72">
        <v>41</v>
      </c>
      <c r="Q416" s="73" t="s">
        <v>106</v>
      </c>
      <c r="R416" s="422"/>
      <c r="S416" s="407"/>
      <c r="T416" s="119"/>
    </row>
    <row r="417" spans="2:20" ht="16.5" thickBot="1" x14ac:dyDescent="0.3">
      <c r="B417" s="55" t="s">
        <v>70</v>
      </c>
      <c r="C417" s="67" t="s">
        <v>71</v>
      </c>
      <c r="D417" s="55" t="s">
        <v>72</v>
      </c>
      <c r="E417" s="55" t="s">
        <v>73</v>
      </c>
      <c r="F417" s="56" t="s">
        <v>74</v>
      </c>
      <c r="G417" s="66" t="s">
        <v>75</v>
      </c>
      <c r="H417" s="55" t="s">
        <v>76</v>
      </c>
      <c r="I417" s="57">
        <v>1</v>
      </c>
      <c r="J417" s="57">
        <v>2</v>
      </c>
      <c r="K417" s="66" t="s">
        <v>152</v>
      </c>
      <c r="L417" s="66" t="s">
        <v>366</v>
      </c>
      <c r="M417" s="75" t="s">
        <v>336</v>
      </c>
      <c r="N417" s="75" t="s">
        <v>337</v>
      </c>
      <c r="O417" s="75" t="s">
        <v>338</v>
      </c>
      <c r="P417" s="74" t="s">
        <v>339</v>
      </c>
      <c r="Q417" s="75" t="s">
        <v>340</v>
      </c>
      <c r="R417" s="65" t="s">
        <v>238</v>
      </c>
      <c r="S417" s="57" t="s">
        <v>383</v>
      </c>
      <c r="T417" s="119"/>
    </row>
    <row r="418" spans="2:20" ht="15.75" x14ac:dyDescent="0.25">
      <c r="B418" s="142" t="s">
        <v>214</v>
      </c>
      <c r="C418" s="145">
        <v>1</v>
      </c>
      <c r="D418" s="145">
        <v>2</v>
      </c>
      <c r="E418" s="145">
        <v>1</v>
      </c>
      <c r="F418" s="145">
        <v>611</v>
      </c>
      <c r="G418" s="142"/>
      <c r="H418" s="145" t="s">
        <v>140</v>
      </c>
      <c r="I418" s="160">
        <v>12067.32</v>
      </c>
      <c r="J418" s="160">
        <v>37613.550000000003</v>
      </c>
      <c r="K418" s="262">
        <v>36856</v>
      </c>
      <c r="L418" s="339">
        <v>37348.51</v>
      </c>
      <c r="M418" s="189">
        <v>45431</v>
      </c>
      <c r="N418" s="190">
        <v>0</v>
      </c>
      <c r="O418" s="190">
        <v>0</v>
      </c>
      <c r="P418" s="190">
        <v>0</v>
      </c>
      <c r="Q418" s="184">
        <f t="shared" ref="Q418:Q438" si="54">M418+N418+O418+P418</f>
        <v>45431</v>
      </c>
      <c r="R418" s="212">
        <v>45005</v>
      </c>
      <c r="S418" s="212">
        <v>45005</v>
      </c>
      <c r="T418" s="119"/>
    </row>
    <row r="419" spans="2:20" ht="15.75" x14ac:dyDescent="0.25">
      <c r="B419" s="143" t="s">
        <v>214</v>
      </c>
      <c r="C419" s="146">
        <v>1</v>
      </c>
      <c r="D419" s="146">
        <v>2</v>
      </c>
      <c r="E419" s="146">
        <v>1</v>
      </c>
      <c r="F419" s="146">
        <v>614</v>
      </c>
      <c r="G419" s="143"/>
      <c r="H419" s="146" t="s">
        <v>141</v>
      </c>
      <c r="I419" s="161">
        <v>0</v>
      </c>
      <c r="J419" s="161">
        <v>0</v>
      </c>
      <c r="K419" s="264">
        <v>0</v>
      </c>
      <c r="L419" s="341">
        <v>0</v>
      </c>
      <c r="M419" s="183">
        <v>0</v>
      </c>
      <c r="N419" s="172">
        <v>0</v>
      </c>
      <c r="O419" s="172">
        <v>0</v>
      </c>
      <c r="P419" s="172">
        <v>0</v>
      </c>
      <c r="Q419" s="184">
        <f t="shared" si="54"/>
        <v>0</v>
      </c>
      <c r="R419" s="155">
        <v>0</v>
      </c>
      <c r="S419" s="155">
        <v>0</v>
      </c>
      <c r="T419" s="119"/>
    </row>
    <row r="420" spans="2:20" ht="15.75" x14ac:dyDescent="0.25">
      <c r="B420" s="143" t="s">
        <v>214</v>
      </c>
      <c r="C420" s="146">
        <v>1</v>
      </c>
      <c r="D420" s="146">
        <v>2</v>
      </c>
      <c r="E420" s="146">
        <v>1</v>
      </c>
      <c r="F420" s="146">
        <v>621</v>
      </c>
      <c r="G420" s="143"/>
      <c r="H420" s="146" t="s">
        <v>377</v>
      </c>
      <c r="I420" s="161">
        <v>723.17</v>
      </c>
      <c r="J420" s="161">
        <v>1009.56</v>
      </c>
      <c r="K420" s="264">
        <v>12191</v>
      </c>
      <c r="L420" s="341">
        <v>935.62</v>
      </c>
      <c r="M420" s="183">
        <v>1362.9299999999998</v>
      </c>
      <c r="N420" s="172">
        <v>0</v>
      </c>
      <c r="O420" s="172">
        <v>0</v>
      </c>
      <c r="P420" s="172">
        <v>0</v>
      </c>
      <c r="Q420" s="184">
        <f t="shared" si="54"/>
        <v>1362.9299999999998</v>
      </c>
      <c r="R420" s="155">
        <v>1350</v>
      </c>
      <c r="S420" s="155">
        <v>1350</v>
      </c>
      <c r="T420" s="119"/>
    </row>
    <row r="421" spans="2:20" ht="15.75" x14ac:dyDescent="0.25">
      <c r="B421" s="143" t="s">
        <v>214</v>
      </c>
      <c r="C421" s="146">
        <v>1</v>
      </c>
      <c r="D421" s="146">
        <v>2</v>
      </c>
      <c r="E421" s="146">
        <v>1</v>
      </c>
      <c r="F421" s="146">
        <v>623</v>
      </c>
      <c r="G421" s="143"/>
      <c r="H421" s="146" t="s">
        <v>374</v>
      </c>
      <c r="I421" s="161">
        <v>564.72</v>
      </c>
      <c r="J421" s="161">
        <v>2793.36</v>
      </c>
      <c r="K421" s="264">
        <v>0</v>
      </c>
      <c r="L421" s="341">
        <v>21711.65</v>
      </c>
      <c r="M421" s="183">
        <v>3180.1700000000005</v>
      </c>
      <c r="N421" s="172">
        <v>0</v>
      </c>
      <c r="O421" s="172">
        <v>0</v>
      </c>
      <c r="P421" s="172">
        <v>0</v>
      </c>
      <c r="Q421" s="184">
        <f t="shared" si="54"/>
        <v>3180.1700000000005</v>
      </c>
      <c r="R421" s="155">
        <v>3150</v>
      </c>
      <c r="S421" s="155">
        <v>3150</v>
      </c>
      <c r="T421" s="119"/>
    </row>
    <row r="422" spans="2:20" ht="15.75" x14ac:dyDescent="0.25">
      <c r="B422" s="143" t="s">
        <v>214</v>
      </c>
      <c r="C422" s="146">
        <v>1</v>
      </c>
      <c r="D422" s="146">
        <v>2</v>
      </c>
      <c r="E422" s="146">
        <v>1</v>
      </c>
      <c r="F422" s="146">
        <v>625</v>
      </c>
      <c r="G422" s="143" t="s">
        <v>30</v>
      </c>
      <c r="H422" s="146" t="s">
        <v>321</v>
      </c>
      <c r="I422" s="161">
        <v>176.14</v>
      </c>
      <c r="J422" s="161">
        <v>510.33</v>
      </c>
      <c r="K422" s="264">
        <v>0</v>
      </c>
      <c r="L422" s="341">
        <v>512.69000000000005</v>
      </c>
      <c r="M422" s="183">
        <v>636.03399999999999</v>
      </c>
      <c r="N422" s="172">
        <v>0</v>
      </c>
      <c r="O422" s="172">
        <v>0</v>
      </c>
      <c r="P422" s="172">
        <v>0</v>
      </c>
      <c r="Q422" s="184">
        <f t="shared" si="54"/>
        <v>636.03399999999999</v>
      </c>
      <c r="R422" s="155">
        <v>630</v>
      </c>
      <c r="S422" s="155">
        <v>630</v>
      </c>
      <c r="T422" s="119"/>
    </row>
    <row r="423" spans="2:20" ht="15.75" x14ac:dyDescent="0.25">
      <c r="B423" s="143" t="s">
        <v>214</v>
      </c>
      <c r="C423" s="146">
        <v>1</v>
      </c>
      <c r="D423" s="146">
        <v>2</v>
      </c>
      <c r="E423" s="146">
        <v>1</v>
      </c>
      <c r="F423" s="146">
        <v>625</v>
      </c>
      <c r="G423" s="143" t="s">
        <v>31</v>
      </c>
      <c r="H423" s="146" t="s">
        <v>322</v>
      </c>
      <c r="I423" s="161">
        <v>1763.4</v>
      </c>
      <c r="J423" s="161">
        <v>5105.51</v>
      </c>
      <c r="K423" s="264">
        <v>0</v>
      </c>
      <c r="L423" s="341">
        <v>5090.62</v>
      </c>
      <c r="M423" s="183">
        <v>6361.34</v>
      </c>
      <c r="N423" s="172">
        <v>0</v>
      </c>
      <c r="O423" s="172">
        <v>0</v>
      </c>
      <c r="P423" s="172">
        <v>0</v>
      </c>
      <c r="Q423" s="184">
        <f t="shared" si="54"/>
        <v>6361.34</v>
      </c>
      <c r="R423" s="155">
        <v>6301</v>
      </c>
      <c r="S423" s="155">
        <v>6301</v>
      </c>
      <c r="T423" s="119"/>
    </row>
    <row r="424" spans="2:20" ht="15.75" x14ac:dyDescent="0.25">
      <c r="B424" s="143" t="s">
        <v>214</v>
      </c>
      <c r="C424" s="146">
        <v>1</v>
      </c>
      <c r="D424" s="146">
        <v>2</v>
      </c>
      <c r="E424" s="146">
        <v>1</v>
      </c>
      <c r="F424" s="146">
        <v>625</v>
      </c>
      <c r="G424" s="143" t="s">
        <v>29</v>
      </c>
      <c r="H424" s="146" t="s">
        <v>323</v>
      </c>
      <c r="I424" s="161">
        <v>101.25</v>
      </c>
      <c r="J424" s="161">
        <v>291.56</v>
      </c>
      <c r="K424" s="264">
        <v>0</v>
      </c>
      <c r="L424" s="341">
        <v>291.57</v>
      </c>
      <c r="M424" s="183">
        <v>363.44800000000004</v>
      </c>
      <c r="N424" s="172">
        <v>0</v>
      </c>
      <c r="O424" s="172">
        <v>0</v>
      </c>
      <c r="P424" s="172">
        <v>0</v>
      </c>
      <c r="Q424" s="184">
        <f t="shared" si="54"/>
        <v>363.44800000000004</v>
      </c>
      <c r="R424" s="155">
        <v>360</v>
      </c>
      <c r="S424" s="155">
        <v>360</v>
      </c>
      <c r="T424" s="119"/>
    </row>
    <row r="425" spans="2:20" ht="15.75" x14ac:dyDescent="0.25">
      <c r="B425" s="143" t="s">
        <v>214</v>
      </c>
      <c r="C425" s="146">
        <v>1</v>
      </c>
      <c r="D425" s="146">
        <v>2</v>
      </c>
      <c r="E425" s="146">
        <v>1</v>
      </c>
      <c r="F425" s="146">
        <v>625</v>
      </c>
      <c r="G425" s="143" t="s">
        <v>34</v>
      </c>
      <c r="H425" s="146" t="s">
        <v>324</v>
      </c>
      <c r="I425" s="161">
        <v>377.75</v>
      </c>
      <c r="J425" s="161">
        <v>1093.8599999999999</v>
      </c>
      <c r="K425" s="264">
        <v>0</v>
      </c>
      <c r="L425" s="341">
        <v>1090.28</v>
      </c>
      <c r="M425" s="183">
        <v>1362.05</v>
      </c>
      <c r="N425" s="172">
        <v>0</v>
      </c>
      <c r="O425" s="172">
        <v>0</v>
      </c>
      <c r="P425" s="172">
        <v>0</v>
      </c>
      <c r="Q425" s="184">
        <f t="shared" si="54"/>
        <v>1362.05</v>
      </c>
      <c r="R425" s="155">
        <v>1350</v>
      </c>
      <c r="S425" s="155">
        <v>1350</v>
      </c>
      <c r="T425" s="119"/>
    </row>
    <row r="426" spans="2:20" ht="15.75" x14ac:dyDescent="0.25">
      <c r="B426" s="143" t="s">
        <v>214</v>
      </c>
      <c r="C426" s="146">
        <v>1</v>
      </c>
      <c r="D426" s="146">
        <v>2</v>
      </c>
      <c r="E426" s="146">
        <v>1</v>
      </c>
      <c r="F426" s="146">
        <v>625</v>
      </c>
      <c r="G426" s="143" t="s">
        <v>107</v>
      </c>
      <c r="H426" s="146" t="s">
        <v>325</v>
      </c>
      <c r="I426" s="161">
        <v>126.17</v>
      </c>
      <c r="J426" s="161">
        <v>364.48</v>
      </c>
      <c r="K426" s="264">
        <v>0</v>
      </c>
      <c r="L426" s="341">
        <v>366.61</v>
      </c>
      <c r="M426" s="183">
        <v>454.31</v>
      </c>
      <c r="N426" s="172">
        <v>0</v>
      </c>
      <c r="O426" s="172">
        <v>0</v>
      </c>
      <c r="P426" s="172">
        <v>0</v>
      </c>
      <c r="Q426" s="184">
        <f t="shared" si="54"/>
        <v>454.31</v>
      </c>
      <c r="R426" s="155">
        <v>450</v>
      </c>
      <c r="S426" s="155">
        <v>450</v>
      </c>
      <c r="T426" s="119"/>
    </row>
    <row r="427" spans="2:20" ht="15.75" x14ac:dyDescent="0.25">
      <c r="B427" s="143" t="s">
        <v>214</v>
      </c>
      <c r="C427" s="146">
        <v>1</v>
      </c>
      <c r="D427" s="146">
        <v>2</v>
      </c>
      <c r="E427" s="146">
        <v>1</v>
      </c>
      <c r="F427" s="146">
        <v>625</v>
      </c>
      <c r="G427" s="143" t="s">
        <v>108</v>
      </c>
      <c r="H427" s="146" t="s">
        <v>326</v>
      </c>
      <c r="I427" s="161">
        <v>598.58000000000004</v>
      </c>
      <c r="J427" s="161">
        <v>1732.07</v>
      </c>
      <c r="K427" s="264">
        <v>0</v>
      </c>
      <c r="L427" s="341">
        <v>1725.86</v>
      </c>
      <c r="M427" s="183">
        <v>2157.9724999999999</v>
      </c>
      <c r="N427" s="172">
        <v>0</v>
      </c>
      <c r="O427" s="172">
        <v>0</v>
      </c>
      <c r="P427" s="172">
        <v>0</v>
      </c>
      <c r="Q427" s="184">
        <f t="shared" si="54"/>
        <v>2157.9724999999999</v>
      </c>
      <c r="R427" s="155">
        <v>2140</v>
      </c>
      <c r="S427" s="155">
        <v>2140</v>
      </c>
      <c r="T427" s="119"/>
    </row>
    <row r="428" spans="2:20" ht="15.75" x14ac:dyDescent="0.25">
      <c r="B428" s="143" t="s">
        <v>214</v>
      </c>
      <c r="C428" s="146">
        <v>1</v>
      </c>
      <c r="D428" s="146">
        <v>2</v>
      </c>
      <c r="E428" s="146">
        <v>1</v>
      </c>
      <c r="F428" s="146">
        <v>627</v>
      </c>
      <c r="G428" s="143"/>
      <c r="H428" s="146" t="s">
        <v>327</v>
      </c>
      <c r="I428" s="161">
        <v>732.6</v>
      </c>
      <c r="J428" s="161">
        <v>556.26</v>
      </c>
      <c r="K428" s="264">
        <v>0</v>
      </c>
      <c r="L428" s="341">
        <v>704.04</v>
      </c>
      <c r="M428" s="183">
        <v>908.62</v>
      </c>
      <c r="N428" s="172">
        <v>0</v>
      </c>
      <c r="O428" s="172">
        <v>0</v>
      </c>
      <c r="P428" s="172">
        <v>0</v>
      </c>
      <c r="Q428" s="184">
        <f t="shared" si="54"/>
        <v>908.62</v>
      </c>
      <c r="R428" s="155">
        <v>900</v>
      </c>
      <c r="S428" s="155">
        <v>900</v>
      </c>
      <c r="T428" s="119"/>
    </row>
    <row r="429" spans="2:20" ht="15.75" x14ac:dyDescent="0.25">
      <c r="B429" s="143" t="s">
        <v>214</v>
      </c>
      <c r="C429" s="146">
        <v>1</v>
      </c>
      <c r="D429" s="146">
        <v>2</v>
      </c>
      <c r="E429" s="146">
        <v>1</v>
      </c>
      <c r="F429" s="146">
        <v>632</v>
      </c>
      <c r="G429" s="143" t="s">
        <v>107</v>
      </c>
      <c r="H429" s="146" t="s">
        <v>165</v>
      </c>
      <c r="I429" s="161">
        <v>178.67</v>
      </c>
      <c r="J429" s="161">
        <v>169.61</v>
      </c>
      <c r="K429" s="264">
        <v>180</v>
      </c>
      <c r="L429" s="264">
        <v>127.17</v>
      </c>
      <c r="M429" s="183">
        <v>0</v>
      </c>
      <c r="N429" s="172">
        <v>0</v>
      </c>
      <c r="O429" s="172">
        <v>0</v>
      </c>
      <c r="P429" s="172">
        <v>130</v>
      </c>
      <c r="Q429" s="184">
        <f t="shared" si="54"/>
        <v>130</v>
      </c>
      <c r="R429" s="155">
        <v>130</v>
      </c>
      <c r="S429" s="155">
        <v>130</v>
      </c>
      <c r="T429" s="119"/>
    </row>
    <row r="430" spans="2:20" ht="15.75" x14ac:dyDescent="0.25">
      <c r="B430" s="143" t="s">
        <v>214</v>
      </c>
      <c r="C430" s="146">
        <v>1</v>
      </c>
      <c r="D430" s="146">
        <v>2</v>
      </c>
      <c r="E430" s="146">
        <v>1</v>
      </c>
      <c r="F430" s="146">
        <v>633</v>
      </c>
      <c r="G430" s="143" t="s">
        <v>30</v>
      </c>
      <c r="H430" s="146" t="s">
        <v>87</v>
      </c>
      <c r="I430" s="161">
        <v>0</v>
      </c>
      <c r="J430" s="161">
        <f>1880</f>
        <v>1880</v>
      </c>
      <c r="K430" s="264">
        <v>0</v>
      </c>
      <c r="L430" s="264">
        <v>0</v>
      </c>
      <c r="M430" s="183">
        <v>0</v>
      </c>
      <c r="N430" s="172">
        <v>0</v>
      </c>
      <c r="O430" s="172">
        <v>0</v>
      </c>
      <c r="P430" s="172">
        <v>0</v>
      </c>
      <c r="Q430" s="184">
        <f t="shared" si="54"/>
        <v>0</v>
      </c>
      <c r="R430" s="155">
        <v>0</v>
      </c>
      <c r="S430" s="155">
        <v>0</v>
      </c>
      <c r="T430" s="119"/>
    </row>
    <row r="431" spans="2:20" ht="15.75" x14ac:dyDescent="0.25">
      <c r="B431" s="143" t="s">
        <v>214</v>
      </c>
      <c r="C431" s="146">
        <v>1</v>
      </c>
      <c r="D431" s="146">
        <v>2</v>
      </c>
      <c r="E431" s="146">
        <v>1</v>
      </c>
      <c r="F431" s="146">
        <v>633</v>
      </c>
      <c r="G431" s="143" t="s">
        <v>35</v>
      </c>
      <c r="H431" s="146" t="s">
        <v>90</v>
      </c>
      <c r="I431" s="161">
        <v>0</v>
      </c>
      <c r="J431" s="161">
        <v>126.64</v>
      </c>
      <c r="K431" s="264">
        <v>0</v>
      </c>
      <c r="L431" s="264">
        <v>32.99</v>
      </c>
      <c r="M431" s="183">
        <v>0</v>
      </c>
      <c r="N431" s="172">
        <v>0</v>
      </c>
      <c r="O431" s="172">
        <v>0</v>
      </c>
      <c r="P431" s="172">
        <v>150</v>
      </c>
      <c r="Q431" s="184">
        <f t="shared" si="54"/>
        <v>150</v>
      </c>
      <c r="R431" s="155">
        <v>150</v>
      </c>
      <c r="S431" s="155">
        <v>150</v>
      </c>
      <c r="T431" s="119"/>
    </row>
    <row r="432" spans="2:20" ht="15.75" x14ac:dyDescent="0.25">
      <c r="B432" s="143" t="s">
        <v>214</v>
      </c>
      <c r="C432" s="146">
        <v>1</v>
      </c>
      <c r="D432" s="146">
        <v>2</v>
      </c>
      <c r="E432" s="146">
        <v>1</v>
      </c>
      <c r="F432" s="146">
        <v>633</v>
      </c>
      <c r="G432" s="143" t="s">
        <v>33</v>
      </c>
      <c r="H432" s="146" t="s">
        <v>95</v>
      </c>
      <c r="I432" s="161">
        <v>0</v>
      </c>
      <c r="J432" s="161">
        <v>0</v>
      </c>
      <c r="K432" s="264">
        <v>0</v>
      </c>
      <c r="L432" s="264">
        <v>0</v>
      </c>
      <c r="M432" s="183">
        <v>0</v>
      </c>
      <c r="N432" s="172">
        <v>0</v>
      </c>
      <c r="O432" s="172">
        <v>0</v>
      </c>
      <c r="P432" s="172">
        <v>0</v>
      </c>
      <c r="Q432" s="184">
        <f t="shared" si="54"/>
        <v>0</v>
      </c>
      <c r="R432" s="155">
        <v>0</v>
      </c>
      <c r="S432" s="155">
        <v>0</v>
      </c>
      <c r="T432" s="119"/>
    </row>
    <row r="433" spans="2:20" ht="31.5" x14ac:dyDescent="0.25">
      <c r="B433" s="143" t="s">
        <v>214</v>
      </c>
      <c r="C433" s="146">
        <v>1</v>
      </c>
      <c r="D433" s="146">
        <v>2</v>
      </c>
      <c r="E433" s="146">
        <v>1</v>
      </c>
      <c r="F433" s="146">
        <v>633</v>
      </c>
      <c r="G433" s="143" t="s">
        <v>124</v>
      </c>
      <c r="H433" s="178" t="s">
        <v>225</v>
      </c>
      <c r="I433" s="161">
        <v>96.98</v>
      </c>
      <c r="J433" s="161">
        <v>267.8</v>
      </c>
      <c r="K433" s="264">
        <f>340</f>
        <v>340</v>
      </c>
      <c r="L433" s="264">
        <f>291.65+53.64+5.36</f>
        <v>350.65</v>
      </c>
      <c r="M433" s="183">
        <v>298</v>
      </c>
      <c r="N433" s="172">
        <v>53.64</v>
      </c>
      <c r="O433" s="172">
        <v>5.36</v>
      </c>
      <c r="P433" s="172">
        <v>0</v>
      </c>
      <c r="Q433" s="184">
        <f>M433+N433+O433+P433</f>
        <v>357</v>
      </c>
      <c r="R433" s="155">
        <v>360</v>
      </c>
      <c r="S433" s="155">
        <v>360</v>
      </c>
      <c r="T433" s="119"/>
    </row>
    <row r="434" spans="2:20" ht="15.75" x14ac:dyDescent="0.25">
      <c r="B434" s="143" t="s">
        <v>214</v>
      </c>
      <c r="C434" s="146">
        <v>1</v>
      </c>
      <c r="D434" s="146">
        <v>2</v>
      </c>
      <c r="E434" s="146">
        <v>1</v>
      </c>
      <c r="F434" s="146">
        <v>635</v>
      </c>
      <c r="G434" s="143" t="s">
        <v>31</v>
      </c>
      <c r="H434" s="178" t="s">
        <v>101</v>
      </c>
      <c r="I434" s="161">
        <v>222</v>
      </c>
      <c r="J434" s="161">
        <v>630</v>
      </c>
      <c r="K434" s="264">
        <v>200</v>
      </c>
      <c r="L434" s="264">
        <v>115.2</v>
      </c>
      <c r="M434" s="183">
        <v>0</v>
      </c>
      <c r="N434" s="172">
        <v>0</v>
      </c>
      <c r="O434" s="172">
        <v>0</v>
      </c>
      <c r="P434" s="172">
        <v>200</v>
      </c>
      <c r="Q434" s="184">
        <f t="shared" si="54"/>
        <v>200</v>
      </c>
      <c r="R434" s="155">
        <v>300</v>
      </c>
      <c r="S434" s="155">
        <v>300</v>
      </c>
      <c r="T434" s="119"/>
    </row>
    <row r="435" spans="2:20" ht="31.5" x14ac:dyDescent="0.25">
      <c r="B435" s="143" t="s">
        <v>214</v>
      </c>
      <c r="C435" s="146">
        <v>1</v>
      </c>
      <c r="D435" s="146">
        <v>2</v>
      </c>
      <c r="E435" s="146">
        <v>1</v>
      </c>
      <c r="F435" s="146">
        <v>635</v>
      </c>
      <c r="G435" s="143" t="s">
        <v>34</v>
      </c>
      <c r="H435" s="178" t="s">
        <v>314</v>
      </c>
      <c r="I435" s="161">
        <v>0</v>
      </c>
      <c r="J435" s="161">
        <v>318.70999999999998</v>
      </c>
      <c r="K435" s="264">
        <v>0</v>
      </c>
      <c r="L435" s="264">
        <v>0</v>
      </c>
      <c r="M435" s="183">
        <v>0</v>
      </c>
      <c r="N435" s="172">
        <v>0</v>
      </c>
      <c r="O435" s="172">
        <v>0</v>
      </c>
      <c r="P435" s="172">
        <v>0</v>
      </c>
      <c r="Q435" s="184">
        <f t="shared" si="54"/>
        <v>0</v>
      </c>
      <c r="R435" s="155">
        <v>0</v>
      </c>
      <c r="S435" s="155">
        <v>0</v>
      </c>
      <c r="T435" s="119"/>
    </row>
    <row r="436" spans="2:20" ht="15.75" x14ac:dyDescent="0.25">
      <c r="B436" s="143" t="s">
        <v>214</v>
      </c>
      <c r="C436" s="146">
        <v>1</v>
      </c>
      <c r="D436" s="146">
        <v>2</v>
      </c>
      <c r="E436" s="146">
        <v>1</v>
      </c>
      <c r="F436" s="146">
        <v>635</v>
      </c>
      <c r="G436" s="143" t="s">
        <v>35</v>
      </c>
      <c r="H436" s="178" t="s">
        <v>207</v>
      </c>
      <c r="I436" s="161">
        <v>0</v>
      </c>
      <c r="J436" s="161">
        <v>0</v>
      </c>
      <c r="K436" s="264">
        <v>1500</v>
      </c>
      <c r="L436" s="264">
        <v>0</v>
      </c>
      <c r="M436" s="183">
        <v>0</v>
      </c>
      <c r="N436" s="172">
        <v>0</v>
      </c>
      <c r="O436" s="172">
        <v>0</v>
      </c>
      <c r="P436" s="172">
        <v>0</v>
      </c>
      <c r="Q436" s="184">
        <f t="shared" si="54"/>
        <v>0</v>
      </c>
      <c r="R436" s="155">
        <v>0</v>
      </c>
      <c r="S436" s="155">
        <v>0</v>
      </c>
      <c r="T436" s="119"/>
    </row>
    <row r="437" spans="2:20" ht="15.75" x14ac:dyDescent="0.25">
      <c r="B437" s="143" t="s">
        <v>214</v>
      </c>
      <c r="C437" s="146">
        <v>1</v>
      </c>
      <c r="D437" s="146">
        <v>2</v>
      </c>
      <c r="E437" s="146">
        <v>1</v>
      </c>
      <c r="F437" s="146">
        <v>635</v>
      </c>
      <c r="G437" s="143" t="s">
        <v>124</v>
      </c>
      <c r="H437" s="178" t="s">
        <v>226</v>
      </c>
      <c r="I437" s="161">
        <v>0</v>
      </c>
      <c r="J437" s="161">
        <v>159</v>
      </c>
      <c r="K437" s="264">
        <v>500</v>
      </c>
      <c r="L437" s="264">
        <v>0</v>
      </c>
      <c r="M437" s="183">
        <v>0</v>
      </c>
      <c r="N437" s="172">
        <v>0</v>
      </c>
      <c r="O437" s="172">
        <v>0</v>
      </c>
      <c r="P437" s="172">
        <v>200</v>
      </c>
      <c r="Q437" s="184">
        <f t="shared" si="54"/>
        <v>200</v>
      </c>
      <c r="R437" s="155">
        <v>300</v>
      </c>
      <c r="S437" s="155">
        <v>300</v>
      </c>
      <c r="T437" s="119"/>
    </row>
    <row r="438" spans="2:20" ht="15.75" x14ac:dyDescent="0.25">
      <c r="B438" s="143" t="s">
        <v>214</v>
      </c>
      <c r="C438" s="146">
        <v>1</v>
      </c>
      <c r="D438" s="146">
        <v>2</v>
      </c>
      <c r="E438" s="146">
        <v>1</v>
      </c>
      <c r="F438" s="146">
        <v>637</v>
      </c>
      <c r="G438" s="143" t="s">
        <v>34</v>
      </c>
      <c r="H438" s="146" t="s">
        <v>396</v>
      </c>
      <c r="I438" s="161">
        <v>115</v>
      </c>
      <c r="J438" s="161">
        <v>0</v>
      </c>
      <c r="K438" s="264">
        <v>1320</v>
      </c>
      <c r="L438" s="264">
        <v>0</v>
      </c>
      <c r="M438" s="183">
        <v>750</v>
      </c>
      <c r="N438" s="172">
        <v>0</v>
      </c>
      <c r="O438" s="172">
        <v>0</v>
      </c>
      <c r="P438" s="172">
        <v>0</v>
      </c>
      <c r="Q438" s="184">
        <f t="shared" si="54"/>
        <v>750</v>
      </c>
      <c r="R438" s="155">
        <v>1450</v>
      </c>
      <c r="S438" s="155">
        <v>1460</v>
      </c>
      <c r="T438" s="119"/>
    </row>
    <row r="439" spans="2:20" ht="15.75" x14ac:dyDescent="0.25">
      <c r="B439" s="143" t="s">
        <v>214</v>
      </c>
      <c r="C439" s="146">
        <v>1</v>
      </c>
      <c r="D439" s="146">
        <v>2</v>
      </c>
      <c r="E439" s="146">
        <v>1</v>
      </c>
      <c r="F439" s="146">
        <v>637</v>
      </c>
      <c r="G439" s="143" t="s">
        <v>108</v>
      </c>
      <c r="H439" s="146" t="s">
        <v>397</v>
      </c>
      <c r="I439" s="161">
        <v>0</v>
      </c>
      <c r="J439" s="161">
        <v>0</v>
      </c>
      <c r="K439" s="264">
        <v>0</v>
      </c>
      <c r="L439" s="264">
        <v>0</v>
      </c>
      <c r="M439" s="183">
        <v>0</v>
      </c>
      <c r="N439" s="172">
        <v>0</v>
      </c>
      <c r="O439" s="172">
        <v>0</v>
      </c>
      <c r="P439" s="172">
        <v>0</v>
      </c>
      <c r="Q439" s="184">
        <f>M439+N439+O439+P439</f>
        <v>0</v>
      </c>
      <c r="R439" s="155"/>
      <c r="S439" s="155"/>
      <c r="T439" s="119"/>
    </row>
    <row r="440" spans="2:20" ht="15.75" x14ac:dyDescent="0.25">
      <c r="B440" s="143" t="s">
        <v>214</v>
      </c>
      <c r="C440" s="146">
        <v>1</v>
      </c>
      <c r="D440" s="146">
        <v>2</v>
      </c>
      <c r="E440" s="146">
        <v>1</v>
      </c>
      <c r="F440" s="146">
        <v>637</v>
      </c>
      <c r="G440" s="143" t="s">
        <v>127</v>
      </c>
      <c r="H440" s="146" t="s">
        <v>115</v>
      </c>
      <c r="I440" s="161">
        <v>458.03</v>
      </c>
      <c r="J440" s="161">
        <v>596.80999999999995</v>
      </c>
      <c r="K440" s="264">
        <v>500</v>
      </c>
      <c r="L440" s="341">
        <v>771.18</v>
      </c>
      <c r="M440" s="183">
        <v>0</v>
      </c>
      <c r="N440" s="172">
        <v>0</v>
      </c>
      <c r="O440" s="172">
        <v>0</v>
      </c>
      <c r="P440" s="172">
        <v>800</v>
      </c>
      <c r="Q440" s="184">
        <f>M440+N440+O440+P440</f>
        <v>800</v>
      </c>
      <c r="R440" s="155">
        <v>800</v>
      </c>
      <c r="S440" s="155">
        <v>800</v>
      </c>
      <c r="T440" s="119"/>
    </row>
    <row r="441" spans="2:20" ht="16.5" thickBot="1" x14ac:dyDescent="0.3">
      <c r="B441" s="207" t="s">
        <v>214</v>
      </c>
      <c r="C441" s="166">
        <v>1</v>
      </c>
      <c r="D441" s="166">
        <v>2</v>
      </c>
      <c r="E441" s="166">
        <v>1</v>
      </c>
      <c r="F441" s="166">
        <v>637</v>
      </c>
      <c r="G441" s="207" t="s">
        <v>126</v>
      </c>
      <c r="H441" s="146" t="s">
        <v>382</v>
      </c>
      <c r="I441" s="167">
        <v>0</v>
      </c>
      <c r="J441" s="167">
        <v>311.87</v>
      </c>
      <c r="K441" s="273">
        <v>220</v>
      </c>
      <c r="L441" s="343">
        <v>280.75</v>
      </c>
      <c r="M441" s="192">
        <v>454.31</v>
      </c>
      <c r="N441" s="172">
        <v>0</v>
      </c>
      <c r="O441" s="172">
        <v>0</v>
      </c>
      <c r="P441" s="172">
        <v>0</v>
      </c>
      <c r="Q441" s="194">
        <f t="shared" ref="Q441" si="55">M441+N441+O441+P441</f>
        <v>454.31</v>
      </c>
      <c r="R441" s="156">
        <v>455</v>
      </c>
      <c r="S441" s="156">
        <v>455</v>
      </c>
      <c r="T441" s="119"/>
    </row>
    <row r="442" spans="2:20" ht="19.5" thickBot="1" x14ac:dyDescent="0.35">
      <c r="B442" s="426" t="s">
        <v>220</v>
      </c>
      <c r="C442" s="427"/>
      <c r="D442" s="427"/>
      <c r="E442" s="427"/>
      <c r="F442" s="427"/>
      <c r="G442" s="427"/>
      <c r="H442" s="427"/>
      <c r="I442" s="40">
        <f t="shared" ref="I442:S442" si="56">SUM(I418:I441)</f>
        <v>18301.779999999995</v>
      </c>
      <c r="J442" s="40">
        <f>SUM(J418:J441)</f>
        <v>55530.98000000001</v>
      </c>
      <c r="K442" s="40">
        <f>SUM(K418:K441)</f>
        <v>53807</v>
      </c>
      <c r="L442" s="40">
        <f>SUM(L418:L441)</f>
        <v>71455.39</v>
      </c>
      <c r="M442" s="78">
        <f>SUM(M418:M441)</f>
        <v>63720.184499999996</v>
      </c>
      <c r="N442" s="78">
        <f t="shared" ref="N442:P442" si="57">SUM(N418:N441)</f>
        <v>53.64</v>
      </c>
      <c r="O442" s="78">
        <f t="shared" si="57"/>
        <v>5.36</v>
      </c>
      <c r="P442" s="78">
        <f t="shared" si="57"/>
        <v>1480</v>
      </c>
      <c r="Q442" s="78">
        <f>SUM(Q418:Q441)</f>
        <v>65259.184499999996</v>
      </c>
      <c r="R442" s="278">
        <f t="shared" si="56"/>
        <v>65581</v>
      </c>
      <c r="S442" s="278">
        <f t="shared" si="56"/>
        <v>65591</v>
      </c>
      <c r="T442" s="119"/>
    </row>
    <row r="443" spans="2:20" ht="19.5" thickBot="1" x14ac:dyDescent="0.35">
      <c r="T443" s="119"/>
    </row>
    <row r="444" spans="2:20" ht="19.5" thickBot="1" x14ac:dyDescent="0.35">
      <c r="B444" s="417" t="s">
        <v>229</v>
      </c>
      <c r="C444" s="418"/>
      <c r="D444" s="418"/>
      <c r="E444" s="418"/>
      <c r="F444" s="418"/>
      <c r="G444" s="418"/>
      <c r="H444" s="418"/>
      <c r="I444" s="77">
        <f t="shared" ref="I444:L444" si="58">I442+I412+I383</f>
        <v>131854.24</v>
      </c>
      <c r="J444" s="77">
        <f t="shared" si="58"/>
        <v>147332.71000000002</v>
      </c>
      <c r="K444" s="77">
        <f t="shared" si="58"/>
        <v>142715</v>
      </c>
      <c r="L444" s="77">
        <f t="shared" si="58"/>
        <v>165926.18000000002</v>
      </c>
      <c r="M444" s="77">
        <f>M442+M412+M383</f>
        <v>156122.00350000002</v>
      </c>
      <c r="N444" s="77">
        <f>N442+N412</f>
        <v>324.55</v>
      </c>
      <c r="O444" s="77">
        <f>O442+O412</f>
        <v>32.450000000000003</v>
      </c>
      <c r="P444" s="77">
        <f>P442+P412+N383</f>
        <v>37382</v>
      </c>
      <c r="Q444" s="77">
        <f>Q442+Q412+O383</f>
        <v>193861.00350000002</v>
      </c>
      <c r="R444" s="77">
        <f>R442+P383+R412</f>
        <v>194498</v>
      </c>
      <c r="S444" s="77">
        <f>S442+S412+Q383</f>
        <v>194758</v>
      </c>
    </row>
    <row r="445" spans="2:20" ht="19.5" thickBot="1" x14ac:dyDescent="0.35">
      <c r="M445" s="29">
        <v>156122</v>
      </c>
      <c r="N445" s="461">
        <v>357</v>
      </c>
      <c r="O445" s="461"/>
    </row>
    <row r="446" spans="2:20" ht="20.25" thickBot="1" x14ac:dyDescent="0.3">
      <c r="B446" s="399" t="s">
        <v>230</v>
      </c>
      <c r="C446" s="400"/>
      <c r="D446" s="400"/>
      <c r="E446" s="400"/>
      <c r="F446" s="400"/>
      <c r="G446" s="400"/>
      <c r="H446" s="400"/>
      <c r="I446" s="400"/>
      <c r="J446" s="400"/>
      <c r="K446" s="400"/>
      <c r="L446" s="400"/>
      <c r="M446" s="400"/>
      <c r="N446" s="400"/>
      <c r="O446" s="400"/>
      <c r="P446" s="400"/>
      <c r="Q446" s="401"/>
      <c r="R446" s="119"/>
    </row>
    <row r="447" spans="2:20" ht="16.5" customHeight="1" thickBot="1" x14ac:dyDescent="0.3">
      <c r="B447" s="402" t="s">
        <v>64</v>
      </c>
      <c r="C447" s="402" t="s">
        <v>65</v>
      </c>
      <c r="D447" s="402" t="s">
        <v>66</v>
      </c>
      <c r="E447" s="402" t="s">
        <v>67</v>
      </c>
      <c r="F447" s="402" t="s">
        <v>24</v>
      </c>
      <c r="G447" s="405" t="s">
        <v>25</v>
      </c>
      <c r="H447" s="402" t="s">
        <v>22</v>
      </c>
      <c r="I447" s="397" t="s">
        <v>68</v>
      </c>
      <c r="J447" s="397" t="s">
        <v>303</v>
      </c>
      <c r="K447" s="397" t="s">
        <v>365</v>
      </c>
      <c r="L447" s="397" t="s">
        <v>364</v>
      </c>
      <c r="M447" s="409" t="s">
        <v>18</v>
      </c>
      <c r="N447" s="410"/>
      <c r="O447" s="411"/>
      <c r="P447" s="421" t="s">
        <v>0</v>
      </c>
      <c r="Q447" s="397" t="s">
        <v>294</v>
      </c>
      <c r="R447" s="119"/>
    </row>
    <row r="448" spans="2:20" ht="33.75" customHeight="1" thickBot="1" x14ac:dyDescent="0.3">
      <c r="B448" s="403"/>
      <c r="C448" s="403"/>
      <c r="D448" s="404"/>
      <c r="E448" s="404"/>
      <c r="F448" s="403"/>
      <c r="G448" s="406"/>
      <c r="H448" s="404"/>
      <c r="I448" s="407"/>
      <c r="J448" s="407"/>
      <c r="K448" s="398"/>
      <c r="L448" s="408"/>
      <c r="M448" s="72">
        <v>111</v>
      </c>
      <c r="N448" s="72">
        <v>41</v>
      </c>
      <c r="O448" s="73" t="s">
        <v>106</v>
      </c>
      <c r="P448" s="422"/>
      <c r="Q448" s="407"/>
      <c r="R448" s="119"/>
    </row>
    <row r="449" spans="2:18" ht="16.5" thickBot="1" x14ac:dyDescent="0.3">
      <c r="B449" s="47" t="s">
        <v>70</v>
      </c>
      <c r="C449" s="222" t="s">
        <v>71</v>
      </c>
      <c r="D449" s="47" t="s">
        <v>72</v>
      </c>
      <c r="E449" s="47" t="s">
        <v>73</v>
      </c>
      <c r="F449" s="223" t="s">
        <v>74</v>
      </c>
      <c r="G449" s="224" t="s">
        <v>75</v>
      </c>
      <c r="H449" s="47" t="s">
        <v>76</v>
      </c>
      <c r="I449" s="54">
        <v>1</v>
      </c>
      <c r="J449" s="54">
        <v>2</v>
      </c>
      <c r="K449" s="54" t="s">
        <v>152</v>
      </c>
      <c r="L449" s="54" t="s">
        <v>366</v>
      </c>
      <c r="M449" s="75" t="s">
        <v>336</v>
      </c>
      <c r="N449" s="75" t="s">
        <v>337</v>
      </c>
      <c r="O449" s="75" t="s">
        <v>338</v>
      </c>
      <c r="P449" s="59" t="s">
        <v>339</v>
      </c>
      <c r="Q449" s="54" t="s">
        <v>340</v>
      </c>
      <c r="R449" s="119"/>
    </row>
    <row r="450" spans="2:18" ht="15.75" x14ac:dyDescent="0.25">
      <c r="B450" s="142" t="s">
        <v>214</v>
      </c>
      <c r="C450" s="145">
        <v>5</v>
      </c>
      <c r="D450" s="145">
        <v>0</v>
      </c>
      <c r="E450" s="145"/>
      <c r="F450" s="145">
        <v>611</v>
      </c>
      <c r="G450" s="142"/>
      <c r="H450" s="145" t="s">
        <v>140</v>
      </c>
      <c r="I450" s="160">
        <v>19409.3</v>
      </c>
      <c r="J450" s="160">
        <v>18675.400000000001</v>
      </c>
      <c r="K450" s="160">
        <v>20339</v>
      </c>
      <c r="L450" s="339">
        <v>21821.74</v>
      </c>
      <c r="M450" s="189">
        <v>0</v>
      </c>
      <c r="N450" s="190">
        <v>31948</v>
      </c>
      <c r="O450" s="191">
        <f t="shared" ref="O450:O461" si="59">N450+M450</f>
        <v>31948</v>
      </c>
      <c r="P450" s="154">
        <v>31948</v>
      </c>
      <c r="Q450" s="154">
        <v>31948</v>
      </c>
      <c r="R450" s="119"/>
    </row>
    <row r="451" spans="2:18" ht="15.75" x14ac:dyDescent="0.25">
      <c r="B451" s="143" t="s">
        <v>214</v>
      </c>
      <c r="C451" s="146">
        <v>5</v>
      </c>
      <c r="D451" s="146">
        <v>0</v>
      </c>
      <c r="E451" s="146"/>
      <c r="F451" s="146">
        <v>614</v>
      </c>
      <c r="G451" s="143"/>
      <c r="H451" s="146" t="s">
        <v>141</v>
      </c>
      <c r="I451" s="161">
        <v>0</v>
      </c>
      <c r="J451" s="161">
        <v>0</v>
      </c>
      <c r="K451" s="161">
        <v>0</v>
      </c>
      <c r="L451" s="341">
        <v>0</v>
      </c>
      <c r="M451" s="183">
        <v>0</v>
      </c>
      <c r="N451" s="172">
        <v>0</v>
      </c>
      <c r="O451" s="184">
        <f t="shared" si="59"/>
        <v>0</v>
      </c>
      <c r="P451" s="155">
        <v>0</v>
      </c>
      <c r="Q451" s="155">
        <v>0</v>
      </c>
      <c r="R451" s="119"/>
    </row>
    <row r="452" spans="2:18" ht="15.75" x14ac:dyDescent="0.25">
      <c r="B452" s="143" t="s">
        <v>214</v>
      </c>
      <c r="C452" s="146">
        <v>5</v>
      </c>
      <c r="D452" s="146">
        <v>0</v>
      </c>
      <c r="E452" s="146"/>
      <c r="F452" s="146">
        <v>621</v>
      </c>
      <c r="G452" s="143"/>
      <c r="H452" s="146" t="s">
        <v>379</v>
      </c>
      <c r="I452" s="161">
        <v>704.41</v>
      </c>
      <c r="J452" s="161">
        <v>999.57</v>
      </c>
      <c r="K452" s="161">
        <v>7109</v>
      </c>
      <c r="L452" s="341">
        <v>1184</v>
      </c>
      <c r="M452" s="183">
        <v>0</v>
      </c>
      <c r="N452" s="172">
        <v>1597.4</v>
      </c>
      <c r="O452" s="184">
        <f t="shared" si="59"/>
        <v>1597.4</v>
      </c>
      <c r="P452" s="155">
        <v>1600</v>
      </c>
      <c r="Q452" s="155">
        <v>1600</v>
      </c>
      <c r="R452" s="119"/>
    </row>
    <row r="453" spans="2:18" ht="15.75" x14ac:dyDescent="0.25">
      <c r="B453" s="143" t="s">
        <v>214</v>
      </c>
      <c r="C453" s="146">
        <v>5</v>
      </c>
      <c r="D453" s="146">
        <v>0</v>
      </c>
      <c r="E453" s="146"/>
      <c r="F453" s="146">
        <v>623</v>
      </c>
      <c r="G453" s="143"/>
      <c r="H453" s="146" t="s">
        <v>378</v>
      </c>
      <c r="I453" s="161">
        <v>1271.4100000000001</v>
      </c>
      <c r="J453" s="161">
        <v>911.38</v>
      </c>
      <c r="K453" s="161">
        <v>0</v>
      </c>
      <c r="L453" s="341">
        <v>1049.3</v>
      </c>
      <c r="M453" s="183">
        <v>0</v>
      </c>
      <c r="N453" s="172">
        <v>1597.4</v>
      </c>
      <c r="O453" s="184">
        <f t="shared" si="59"/>
        <v>1597.4</v>
      </c>
      <c r="P453" s="155">
        <v>1600</v>
      </c>
      <c r="Q453" s="155">
        <v>1600</v>
      </c>
      <c r="R453" s="119"/>
    </row>
    <row r="454" spans="2:18" ht="15.75" x14ac:dyDescent="0.25">
      <c r="B454" s="143" t="s">
        <v>214</v>
      </c>
      <c r="C454" s="146">
        <v>5</v>
      </c>
      <c r="D454" s="146">
        <v>0</v>
      </c>
      <c r="E454" s="146"/>
      <c r="F454" s="146">
        <v>625</v>
      </c>
      <c r="G454" s="143" t="s">
        <v>30</v>
      </c>
      <c r="H454" s="146" t="s">
        <v>321</v>
      </c>
      <c r="I454" s="161">
        <v>271.61</v>
      </c>
      <c r="J454" s="161">
        <v>258.41000000000003</v>
      </c>
      <c r="K454" s="161">
        <v>0</v>
      </c>
      <c r="L454" s="341">
        <v>305.13</v>
      </c>
      <c r="M454" s="183">
        <v>0</v>
      </c>
      <c r="N454" s="172">
        <v>447.27199999999999</v>
      </c>
      <c r="O454" s="184">
        <f t="shared" si="59"/>
        <v>447.27199999999999</v>
      </c>
      <c r="P454" s="155">
        <v>450</v>
      </c>
      <c r="Q454" s="155">
        <v>450</v>
      </c>
      <c r="R454" s="119"/>
    </row>
    <row r="455" spans="2:18" ht="15.75" x14ac:dyDescent="0.25">
      <c r="B455" s="143" t="s">
        <v>214</v>
      </c>
      <c r="C455" s="146">
        <v>5</v>
      </c>
      <c r="D455" s="146">
        <v>0</v>
      </c>
      <c r="E455" s="146"/>
      <c r="F455" s="146">
        <v>625</v>
      </c>
      <c r="G455" s="143" t="s">
        <v>31</v>
      </c>
      <c r="H455" s="146" t="s">
        <v>322</v>
      </c>
      <c r="I455" s="161">
        <v>2717.35</v>
      </c>
      <c r="J455" s="161">
        <v>2581.6799999999998</v>
      </c>
      <c r="K455" s="161">
        <v>0</v>
      </c>
      <c r="L455" s="341">
        <v>3052.16</v>
      </c>
      <c r="M455" s="183">
        <v>0</v>
      </c>
      <c r="N455" s="172">
        <v>4472.72</v>
      </c>
      <c r="O455" s="184">
        <f t="shared" si="59"/>
        <v>4472.72</v>
      </c>
      <c r="P455" s="155">
        <v>4475</v>
      </c>
      <c r="Q455" s="155">
        <v>4475</v>
      </c>
      <c r="R455" s="119"/>
    </row>
    <row r="456" spans="2:18" ht="15.75" x14ac:dyDescent="0.25">
      <c r="B456" s="143" t="s">
        <v>214</v>
      </c>
      <c r="C456" s="146">
        <v>5</v>
      </c>
      <c r="D456" s="146">
        <v>0</v>
      </c>
      <c r="E456" s="146"/>
      <c r="F456" s="146">
        <v>625</v>
      </c>
      <c r="G456" s="143" t="s">
        <v>29</v>
      </c>
      <c r="H456" s="146" t="s">
        <v>323</v>
      </c>
      <c r="I456" s="161">
        <v>155.19</v>
      </c>
      <c r="J456" s="161">
        <v>149.53</v>
      </c>
      <c r="K456" s="161">
        <v>0</v>
      </c>
      <c r="L456" s="341">
        <v>175.55</v>
      </c>
      <c r="M456" s="183">
        <v>0</v>
      </c>
      <c r="N456" s="172">
        <v>255.584</v>
      </c>
      <c r="O456" s="184">
        <f t="shared" si="59"/>
        <v>255.584</v>
      </c>
      <c r="P456" s="155">
        <v>260</v>
      </c>
      <c r="Q456" s="155">
        <v>260</v>
      </c>
      <c r="R456" s="119"/>
    </row>
    <row r="457" spans="2:18" ht="15.75" x14ac:dyDescent="0.25">
      <c r="B457" s="143" t="s">
        <v>214</v>
      </c>
      <c r="C457" s="146">
        <v>5</v>
      </c>
      <c r="D457" s="146">
        <v>0</v>
      </c>
      <c r="E457" s="146"/>
      <c r="F457" s="146">
        <v>625</v>
      </c>
      <c r="G457" s="143" t="s">
        <v>34</v>
      </c>
      <c r="H457" s="146" t="s">
        <v>324</v>
      </c>
      <c r="I457" s="161">
        <v>582.25</v>
      </c>
      <c r="J457" s="161">
        <v>553.14</v>
      </c>
      <c r="K457" s="161">
        <v>0</v>
      </c>
      <c r="L457" s="341">
        <v>653.97</v>
      </c>
      <c r="M457" s="183">
        <v>0</v>
      </c>
      <c r="N457" s="172">
        <v>958.44</v>
      </c>
      <c r="O457" s="184">
        <f t="shared" si="59"/>
        <v>958.44</v>
      </c>
      <c r="P457" s="155">
        <v>960</v>
      </c>
      <c r="Q457" s="155">
        <v>960</v>
      </c>
      <c r="R457" s="119"/>
    </row>
    <row r="458" spans="2:18" ht="15.75" x14ac:dyDescent="0.25">
      <c r="B458" s="143" t="s">
        <v>214</v>
      </c>
      <c r="C458" s="146">
        <v>5</v>
      </c>
      <c r="D458" s="146">
        <v>0</v>
      </c>
      <c r="E458" s="146"/>
      <c r="F458" s="146">
        <v>625</v>
      </c>
      <c r="G458" s="143" t="s">
        <v>107</v>
      </c>
      <c r="H458" s="146" t="s">
        <v>325</v>
      </c>
      <c r="I458" s="161">
        <v>194.04</v>
      </c>
      <c r="J458" s="161">
        <v>184.3</v>
      </c>
      <c r="K458" s="161">
        <v>0</v>
      </c>
      <c r="L458" s="341">
        <v>218.29</v>
      </c>
      <c r="M458" s="183">
        <v>0</v>
      </c>
      <c r="N458" s="172">
        <v>319.48</v>
      </c>
      <c r="O458" s="184">
        <f t="shared" si="59"/>
        <v>319.48</v>
      </c>
      <c r="P458" s="155">
        <v>320</v>
      </c>
      <c r="Q458" s="155">
        <v>320</v>
      </c>
      <c r="R458" s="119"/>
    </row>
    <row r="459" spans="2:18" ht="15.75" x14ac:dyDescent="0.25">
      <c r="B459" s="143" t="s">
        <v>214</v>
      </c>
      <c r="C459" s="146">
        <v>5</v>
      </c>
      <c r="D459" s="146">
        <v>0</v>
      </c>
      <c r="E459" s="146"/>
      <c r="F459" s="146">
        <v>625</v>
      </c>
      <c r="G459" s="143" t="s">
        <v>108</v>
      </c>
      <c r="H459" s="146" t="s">
        <v>326</v>
      </c>
      <c r="I459" s="161">
        <v>912.9</v>
      </c>
      <c r="J459" s="161">
        <v>875.89</v>
      </c>
      <c r="K459" s="161">
        <v>0</v>
      </c>
      <c r="L459" s="341">
        <v>1037.56</v>
      </c>
      <c r="M459" s="183">
        <v>0</v>
      </c>
      <c r="N459" s="172">
        <v>1517.53</v>
      </c>
      <c r="O459" s="184">
        <f t="shared" si="59"/>
        <v>1517.53</v>
      </c>
      <c r="P459" s="155">
        <v>1520</v>
      </c>
      <c r="Q459" s="155">
        <v>1520</v>
      </c>
      <c r="R459" s="119"/>
    </row>
    <row r="460" spans="2:18" ht="15.75" x14ac:dyDescent="0.25">
      <c r="B460" s="143" t="s">
        <v>214</v>
      </c>
      <c r="C460" s="146">
        <v>5</v>
      </c>
      <c r="D460" s="146">
        <v>0</v>
      </c>
      <c r="E460" s="146"/>
      <c r="F460" s="146">
        <v>627</v>
      </c>
      <c r="G460" s="143"/>
      <c r="H460" s="146" t="s">
        <v>327</v>
      </c>
      <c r="I460" s="161">
        <v>384.95</v>
      </c>
      <c r="J460" s="161">
        <v>366.72</v>
      </c>
      <c r="K460" s="161">
        <v>0</v>
      </c>
      <c r="L460" s="341">
        <v>436.79</v>
      </c>
      <c r="M460" s="183">
        <v>0</v>
      </c>
      <c r="N460" s="172">
        <v>698.96</v>
      </c>
      <c r="O460" s="184">
        <f t="shared" si="59"/>
        <v>698.96</v>
      </c>
      <c r="P460" s="155">
        <v>700</v>
      </c>
      <c r="Q460" s="155">
        <v>700</v>
      </c>
      <c r="R460" s="119"/>
    </row>
    <row r="461" spans="2:18" ht="16.5" thickBot="1" x14ac:dyDescent="0.3">
      <c r="B461" s="144" t="s">
        <v>214</v>
      </c>
      <c r="C461" s="147">
        <v>5</v>
      </c>
      <c r="D461" s="147">
        <v>0</v>
      </c>
      <c r="E461" s="147"/>
      <c r="F461" s="147">
        <v>627</v>
      </c>
      <c r="G461" s="144" t="s">
        <v>126</v>
      </c>
      <c r="H461" s="146" t="s">
        <v>382</v>
      </c>
      <c r="I461" s="162">
        <v>139.76</v>
      </c>
      <c r="J461" s="162">
        <v>128.12</v>
      </c>
      <c r="K461" s="162">
        <v>100</v>
      </c>
      <c r="L461" s="344">
        <v>202.73</v>
      </c>
      <c r="M461" s="192">
        <v>0</v>
      </c>
      <c r="N461" s="193">
        <v>319.48899999999998</v>
      </c>
      <c r="O461" s="194">
        <f t="shared" si="59"/>
        <v>319.48899999999998</v>
      </c>
      <c r="P461" s="156">
        <v>320</v>
      </c>
      <c r="Q461" s="156">
        <v>320</v>
      </c>
      <c r="R461" s="119"/>
    </row>
    <row r="462" spans="2:18" ht="18.75" customHeight="1" thickBot="1" x14ac:dyDescent="0.35">
      <c r="B462" s="426" t="s">
        <v>231</v>
      </c>
      <c r="C462" s="427"/>
      <c r="D462" s="427"/>
      <c r="E462" s="427"/>
      <c r="F462" s="427"/>
      <c r="G462" s="427"/>
      <c r="H462" s="428"/>
      <c r="I462" s="40">
        <f>SUM(I450:I461)</f>
        <v>26743.17</v>
      </c>
      <c r="J462" s="40">
        <f>SUM(J450:J461)</f>
        <v>25684.14</v>
      </c>
      <c r="K462" s="176">
        <f t="shared" ref="K462:Q462" si="60">SUM(K450:K461)</f>
        <v>27548</v>
      </c>
      <c r="L462" s="176">
        <f t="shared" si="60"/>
        <v>30137.220000000005</v>
      </c>
      <c r="M462" s="78">
        <f t="shared" si="60"/>
        <v>0</v>
      </c>
      <c r="N462" s="78">
        <f t="shared" si="60"/>
        <v>44132.275000000009</v>
      </c>
      <c r="O462" s="78">
        <f>SUM(O450:O461)</f>
        <v>44132.275000000009</v>
      </c>
      <c r="P462" s="52">
        <f t="shared" si="60"/>
        <v>44153</v>
      </c>
      <c r="Q462" s="40">
        <f t="shared" si="60"/>
        <v>44153</v>
      </c>
      <c r="R462" s="119"/>
    </row>
    <row r="463" spans="2:18" ht="19.5" thickBot="1" x14ac:dyDescent="0.35">
      <c r="R463" s="119"/>
    </row>
    <row r="464" spans="2:18" ht="20.25" thickBot="1" x14ac:dyDescent="0.3">
      <c r="B464" s="399" t="s">
        <v>232</v>
      </c>
      <c r="C464" s="400"/>
      <c r="D464" s="400"/>
      <c r="E464" s="400"/>
      <c r="F464" s="400"/>
      <c r="G464" s="400"/>
      <c r="H464" s="400"/>
      <c r="I464" s="400"/>
      <c r="J464" s="400"/>
      <c r="K464" s="400"/>
      <c r="L464" s="400"/>
      <c r="M464" s="400"/>
      <c r="N464" s="400"/>
      <c r="O464" s="400"/>
      <c r="P464" s="400"/>
      <c r="Q464" s="401"/>
      <c r="R464" s="119"/>
    </row>
    <row r="465" spans="2:18" ht="16.5" customHeight="1" thickBot="1" x14ac:dyDescent="0.3">
      <c r="B465" s="402" t="s">
        <v>64</v>
      </c>
      <c r="C465" s="402" t="s">
        <v>65</v>
      </c>
      <c r="D465" s="402" t="s">
        <v>66</v>
      </c>
      <c r="E465" s="402" t="s">
        <v>67</v>
      </c>
      <c r="F465" s="402" t="s">
        <v>24</v>
      </c>
      <c r="G465" s="405" t="s">
        <v>25</v>
      </c>
      <c r="H465" s="402" t="s">
        <v>22</v>
      </c>
      <c r="I465" s="397" t="s">
        <v>68</v>
      </c>
      <c r="J465" s="397" t="s">
        <v>303</v>
      </c>
      <c r="K465" s="397" t="s">
        <v>365</v>
      </c>
      <c r="L465" s="397" t="s">
        <v>364</v>
      </c>
      <c r="M465" s="409" t="s">
        <v>18</v>
      </c>
      <c r="N465" s="410"/>
      <c r="O465" s="411"/>
      <c r="P465" s="421" t="s">
        <v>0</v>
      </c>
      <c r="Q465" s="397" t="s">
        <v>294</v>
      </c>
      <c r="R465" s="119"/>
    </row>
    <row r="466" spans="2:18" ht="36" customHeight="1" thickBot="1" x14ac:dyDescent="0.3">
      <c r="B466" s="403"/>
      <c r="C466" s="403"/>
      <c r="D466" s="404"/>
      <c r="E466" s="404"/>
      <c r="F466" s="403"/>
      <c r="G466" s="406"/>
      <c r="H466" s="404"/>
      <c r="I466" s="407"/>
      <c r="J466" s="407"/>
      <c r="K466" s="398"/>
      <c r="L466" s="408"/>
      <c r="M466" s="72">
        <v>111</v>
      </c>
      <c r="N466" s="72">
        <v>41</v>
      </c>
      <c r="O466" s="73" t="s">
        <v>106</v>
      </c>
      <c r="P466" s="422"/>
      <c r="Q466" s="407"/>
      <c r="R466" s="119"/>
    </row>
    <row r="467" spans="2:18" ht="16.5" thickBot="1" x14ac:dyDescent="0.3">
      <c r="B467" s="47" t="s">
        <v>70</v>
      </c>
      <c r="C467" s="222" t="s">
        <v>71</v>
      </c>
      <c r="D467" s="47" t="s">
        <v>72</v>
      </c>
      <c r="E467" s="47" t="s">
        <v>73</v>
      </c>
      <c r="F467" s="223" t="s">
        <v>74</v>
      </c>
      <c r="G467" s="224" t="s">
        <v>75</v>
      </c>
      <c r="H467" s="222" t="s">
        <v>76</v>
      </c>
      <c r="I467" s="54">
        <v>1</v>
      </c>
      <c r="J467" s="227">
        <v>2</v>
      </c>
      <c r="K467" s="54" t="s">
        <v>152</v>
      </c>
      <c r="L467" s="54" t="s">
        <v>366</v>
      </c>
      <c r="M467" s="76" t="s">
        <v>336</v>
      </c>
      <c r="N467" s="76" t="s">
        <v>337</v>
      </c>
      <c r="O467" s="76" t="s">
        <v>338</v>
      </c>
      <c r="P467" s="59" t="s">
        <v>339</v>
      </c>
      <c r="Q467" s="54" t="s">
        <v>340</v>
      </c>
      <c r="R467" s="119"/>
    </row>
    <row r="468" spans="2:18" ht="15.75" x14ac:dyDescent="0.25">
      <c r="B468" s="225" t="s">
        <v>214</v>
      </c>
      <c r="C468" s="226">
        <v>5</v>
      </c>
      <c r="D468" s="226">
        <v>0</v>
      </c>
      <c r="E468" s="226"/>
      <c r="F468" s="226">
        <v>611</v>
      </c>
      <c r="G468" s="225"/>
      <c r="H468" s="145" t="s">
        <v>140</v>
      </c>
      <c r="I468" s="213">
        <v>9704.65</v>
      </c>
      <c r="J468" s="213">
        <v>8823.2999999999993</v>
      </c>
      <c r="K468" s="213">
        <v>8019</v>
      </c>
      <c r="L468" s="345">
        <v>9957.14</v>
      </c>
      <c r="M468" s="189">
        <v>0</v>
      </c>
      <c r="N468" s="321">
        <v>14476</v>
      </c>
      <c r="O468" s="182">
        <f t="shared" ref="O468:O479" si="61">N468+M468</f>
        <v>14476</v>
      </c>
      <c r="P468" s="213">
        <v>14476</v>
      </c>
      <c r="Q468" s="213">
        <v>14476</v>
      </c>
      <c r="R468" s="119"/>
    </row>
    <row r="469" spans="2:18" ht="15.75" x14ac:dyDescent="0.25">
      <c r="B469" s="143" t="s">
        <v>214</v>
      </c>
      <c r="C469" s="146">
        <v>5</v>
      </c>
      <c r="D469" s="146">
        <v>0</v>
      </c>
      <c r="E469" s="146"/>
      <c r="F469" s="146">
        <v>614</v>
      </c>
      <c r="G469" s="143"/>
      <c r="H469" s="226" t="s">
        <v>141</v>
      </c>
      <c r="I469" s="161">
        <v>0</v>
      </c>
      <c r="J469" s="161">
        <v>0</v>
      </c>
      <c r="K469" s="161">
        <v>0</v>
      </c>
      <c r="L469" s="164">
        <v>0</v>
      </c>
      <c r="M469" s="183">
        <v>0</v>
      </c>
      <c r="N469" s="268">
        <v>0</v>
      </c>
      <c r="O469" s="184">
        <f t="shared" si="61"/>
        <v>0</v>
      </c>
      <c r="P469" s="161">
        <v>0</v>
      </c>
      <c r="Q469" s="161">
        <v>0</v>
      </c>
      <c r="R469" s="119"/>
    </row>
    <row r="470" spans="2:18" ht="15.75" x14ac:dyDescent="0.25">
      <c r="B470" s="143" t="s">
        <v>214</v>
      </c>
      <c r="C470" s="146">
        <v>5</v>
      </c>
      <c r="D470" s="146">
        <v>0</v>
      </c>
      <c r="E470" s="146"/>
      <c r="F470" s="146">
        <v>621</v>
      </c>
      <c r="G470" s="143"/>
      <c r="H470" s="146" t="s">
        <v>215</v>
      </c>
      <c r="I470" s="161">
        <v>352.2</v>
      </c>
      <c r="J470" s="161">
        <v>0</v>
      </c>
      <c r="K470" s="161">
        <v>2803</v>
      </c>
      <c r="L470" s="164">
        <v>0</v>
      </c>
      <c r="M470" s="183">
        <v>0</v>
      </c>
      <c r="N470" s="268">
        <v>0</v>
      </c>
      <c r="O470" s="184">
        <f t="shared" si="61"/>
        <v>0</v>
      </c>
      <c r="P470" s="161">
        <v>0</v>
      </c>
      <c r="Q470" s="161">
        <v>0</v>
      </c>
      <c r="R470" s="119"/>
    </row>
    <row r="471" spans="2:18" ht="15.75" x14ac:dyDescent="0.25">
      <c r="B471" s="143" t="s">
        <v>214</v>
      </c>
      <c r="C471" s="146">
        <v>5</v>
      </c>
      <c r="D471" s="146">
        <v>0</v>
      </c>
      <c r="E471" s="146"/>
      <c r="F471" s="146">
        <v>623</v>
      </c>
      <c r="G471" s="143"/>
      <c r="H471" s="146" t="s">
        <v>333</v>
      </c>
      <c r="I471" s="161">
        <v>635.70000000000005</v>
      </c>
      <c r="J471" s="161">
        <v>871.25</v>
      </c>
      <c r="K471" s="161">
        <v>0</v>
      </c>
      <c r="L471" s="164">
        <v>1014.77</v>
      </c>
      <c r="M471" s="183">
        <v>0</v>
      </c>
      <c r="N471" s="268">
        <v>1447.6</v>
      </c>
      <c r="O471" s="184">
        <f>N471+M471</f>
        <v>1447.6</v>
      </c>
      <c r="P471" s="161">
        <v>1450</v>
      </c>
      <c r="Q471" s="161">
        <v>1450</v>
      </c>
      <c r="R471" s="119"/>
    </row>
    <row r="472" spans="2:18" ht="15.75" x14ac:dyDescent="0.25">
      <c r="B472" s="143" t="s">
        <v>214</v>
      </c>
      <c r="C472" s="146">
        <v>5</v>
      </c>
      <c r="D472" s="146">
        <v>0</v>
      </c>
      <c r="E472" s="146"/>
      <c r="F472" s="146">
        <v>625</v>
      </c>
      <c r="G472" s="143" t="s">
        <v>30</v>
      </c>
      <c r="H472" s="146" t="s">
        <v>321</v>
      </c>
      <c r="I472" s="161">
        <v>135.80000000000001</v>
      </c>
      <c r="J472" s="161">
        <v>123.33</v>
      </c>
      <c r="K472" s="161">
        <v>0</v>
      </c>
      <c r="L472" s="164">
        <v>138.44999999999999</v>
      </c>
      <c r="M472" s="183">
        <v>0</v>
      </c>
      <c r="N472" s="268">
        <v>202.66399999999999</v>
      </c>
      <c r="O472" s="184">
        <f>N472+M472</f>
        <v>202.66399999999999</v>
      </c>
      <c r="P472" s="161">
        <v>210</v>
      </c>
      <c r="Q472" s="161">
        <v>210</v>
      </c>
      <c r="R472" s="119"/>
    </row>
    <row r="473" spans="2:18" ht="15.75" x14ac:dyDescent="0.25">
      <c r="B473" s="143" t="s">
        <v>214</v>
      </c>
      <c r="C473" s="146">
        <v>5</v>
      </c>
      <c r="D473" s="146">
        <v>0</v>
      </c>
      <c r="E473" s="146"/>
      <c r="F473" s="146">
        <v>625</v>
      </c>
      <c r="G473" s="143" t="s">
        <v>31</v>
      </c>
      <c r="H473" s="146" t="s">
        <v>322</v>
      </c>
      <c r="I473" s="161">
        <v>1358.68</v>
      </c>
      <c r="J473" s="161">
        <v>1237.42</v>
      </c>
      <c r="K473" s="161">
        <v>0</v>
      </c>
      <c r="L473" s="164">
        <v>1392.27</v>
      </c>
      <c r="M473" s="183">
        <v>0</v>
      </c>
      <c r="N473" s="268">
        <v>2026.64</v>
      </c>
      <c r="O473" s="184">
        <f t="shared" si="61"/>
        <v>2026.64</v>
      </c>
      <c r="P473" s="161">
        <v>2030</v>
      </c>
      <c r="Q473" s="161">
        <v>2030</v>
      </c>
      <c r="R473" s="119"/>
    </row>
    <row r="474" spans="2:18" ht="15.75" x14ac:dyDescent="0.25">
      <c r="B474" s="143" t="s">
        <v>214</v>
      </c>
      <c r="C474" s="146">
        <v>5</v>
      </c>
      <c r="D474" s="146">
        <v>0</v>
      </c>
      <c r="E474" s="146"/>
      <c r="F474" s="146">
        <v>625</v>
      </c>
      <c r="G474" s="143" t="s">
        <v>29</v>
      </c>
      <c r="H474" s="146" t="s">
        <v>323</v>
      </c>
      <c r="I474" s="161">
        <v>77.59</v>
      </c>
      <c r="J474" s="161">
        <v>68.52</v>
      </c>
      <c r="K474" s="161">
        <v>0</v>
      </c>
      <c r="L474" s="164">
        <v>81.260000000000005</v>
      </c>
      <c r="M474" s="183">
        <v>0</v>
      </c>
      <c r="N474" s="268">
        <v>115.80800000000001</v>
      </c>
      <c r="O474" s="184">
        <f t="shared" si="61"/>
        <v>115.80800000000001</v>
      </c>
      <c r="P474" s="161">
        <v>116</v>
      </c>
      <c r="Q474" s="161">
        <v>116</v>
      </c>
      <c r="R474" s="119"/>
    </row>
    <row r="475" spans="2:18" ht="15.75" x14ac:dyDescent="0.25">
      <c r="B475" s="143" t="s">
        <v>214</v>
      </c>
      <c r="C475" s="146">
        <v>5</v>
      </c>
      <c r="D475" s="146">
        <v>0</v>
      </c>
      <c r="E475" s="146"/>
      <c r="F475" s="146">
        <v>625</v>
      </c>
      <c r="G475" s="143" t="s">
        <v>34</v>
      </c>
      <c r="H475" s="146" t="s">
        <v>324</v>
      </c>
      <c r="I475" s="161">
        <v>291.13</v>
      </c>
      <c r="J475" s="161">
        <v>265.13</v>
      </c>
      <c r="K475" s="161">
        <v>0</v>
      </c>
      <c r="L475" s="164">
        <v>313.64</v>
      </c>
      <c r="M475" s="183">
        <v>0</v>
      </c>
      <c r="N475" s="268">
        <v>434.28</v>
      </c>
      <c r="O475" s="184">
        <f t="shared" si="61"/>
        <v>434.28</v>
      </c>
      <c r="P475" s="161">
        <v>435</v>
      </c>
      <c r="Q475" s="161">
        <v>435</v>
      </c>
      <c r="R475" s="119"/>
    </row>
    <row r="476" spans="2:18" ht="15.75" x14ac:dyDescent="0.25">
      <c r="B476" s="143" t="s">
        <v>214</v>
      </c>
      <c r="C476" s="146">
        <v>5</v>
      </c>
      <c r="D476" s="146">
        <v>0</v>
      </c>
      <c r="E476" s="146"/>
      <c r="F476" s="146">
        <v>625</v>
      </c>
      <c r="G476" s="143" t="s">
        <v>107</v>
      </c>
      <c r="H476" s="146" t="s">
        <v>325</v>
      </c>
      <c r="I476" s="161">
        <v>97.02</v>
      </c>
      <c r="J476" s="161">
        <v>88.33</v>
      </c>
      <c r="K476" s="161">
        <v>0</v>
      </c>
      <c r="L476" s="164">
        <v>101.52</v>
      </c>
      <c r="M476" s="183">
        <v>0</v>
      </c>
      <c r="N476" s="268">
        <v>144.76</v>
      </c>
      <c r="O476" s="184">
        <f t="shared" si="61"/>
        <v>144.76</v>
      </c>
      <c r="P476" s="161">
        <v>145</v>
      </c>
      <c r="Q476" s="161">
        <v>145</v>
      </c>
      <c r="R476" s="119"/>
    </row>
    <row r="477" spans="2:18" ht="15.75" x14ac:dyDescent="0.25">
      <c r="B477" s="143" t="s">
        <v>214</v>
      </c>
      <c r="C477" s="146">
        <v>5</v>
      </c>
      <c r="D477" s="146">
        <v>0</v>
      </c>
      <c r="E477" s="146"/>
      <c r="F477" s="146">
        <v>625</v>
      </c>
      <c r="G477" s="143" t="s">
        <v>108</v>
      </c>
      <c r="H477" s="146" t="s">
        <v>326</v>
      </c>
      <c r="I477" s="161">
        <v>469.95</v>
      </c>
      <c r="J477" s="161">
        <v>419.79</v>
      </c>
      <c r="K477" s="161">
        <v>0</v>
      </c>
      <c r="L477" s="164">
        <v>495.7</v>
      </c>
      <c r="M477" s="183">
        <v>0</v>
      </c>
      <c r="N477" s="268">
        <v>687.61</v>
      </c>
      <c r="O477" s="184">
        <f t="shared" si="61"/>
        <v>687.61</v>
      </c>
      <c r="P477" s="161">
        <v>690</v>
      </c>
      <c r="Q477" s="161">
        <v>690</v>
      </c>
      <c r="R477" s="119"/>
    </row>
    <row r="478" spans="2:18" ht="15.75" x14ac:dyDescent="0.25">
      <c r="B478" s="143" t="s">
        <v>214</v>
      </c>
      <c r="C478" s="146">
        <v>5</v>
      </c>
      <c r="D478" s="146">
        <v>0</v>
      </c>
      <c r="E478" s="146"/>
      <c r="F478" s="146">
        <v>627</v>
      </c>
      <c r="G478" s="143"/>
      <c r="H478" s="146" t="s">
        <v>327</v>
      </c>
      <c r="I478" s="161">
        <v>192.47</v>
      </c>
      <c r="J478" s="161">
        <v>175.74</v>
      </c>
      <c r="K478" s="161">
        <v>0</v>
      </c>
      <c r="L478" s="164">
        <v>194.92</v>
      </c>
      <c r="M478" s="183">
        <v>0</v>
      </c>
      <c r="N478" s="268">
        <v>289.52</v>
      </c>
      <c r="O478" s="184">
        <f t="shared" si="61"/>
        <v>289.52</v>
      </c>
      <c r="P478" s="161">
        <v>290</v>
      </c>
      <c r="Q478" s="161">
        <v>290</v>
      </c>
      <c r="R478" s="119"/>
    </row>
    <row r="479" spans="2:18" ht="16.5" thickBot="1" x14ac:dyDescent="0.3">
      <c r="B479" s="207" t="s">
        <v>214</v>
      </c>
      <c r="C479" s="166">
        <v>5</v>
      </c>
      <c r="D479" s="166">
        <v>0</v>
      </c>
      <c r="E479" s="166"/>
      <c r="F479" s="166">
        <v>627</v>
      </c>
      <c r="G479" s="207" t="s">
        <v>126</v>
      </c>
      <c r="H479" s="146" t="s">
        <v>382</v>
      </c>
      <c r="I479" s="167">
        <v>69.88</v>
      </c>
      <c r="J479" s="167">
        <v>55.28</v>
      </c>
      <c r="K479" s="167">
        <v>100</v>
      </c>
      <c r="L479" s="338">
        <v>97</v>
      </c>
      <c r="M479" s="192">
        <v>0</v>
      </c>
      <c r="N479" s="269">
        <v>144.76</v>
      </c>
      <c r="O479" s="186">
        <f t="shared" si="61"/>
        <v>144.76</v>
      </c>
      <c r="P479" s="167">
        <v>150</v>
      </c>
      <c r="Q479" s="167">
        <v>150</v>
      </c>
      <c r="R479" s="119"/>
    </row>
    <row r="480" spans="2:18" ht="19.5" thickBot="1" x14ac:dyDescent="0.35">
      <c r="B480" s="426" t="s">
        <v>231</v>
      </c>
      <c r="C480" s="427"/>
      <c r="D480" s="427"/>
      <c r="E480" s="427"/>
      <c r="F480" s="427"/>
      <c r="G480" s="427"/>
      <c r="H480" s="428"/>
      <c r="I480" s="40">
        <f>SUM(I468:I479)</f>
        <v>13385.07</v>
      </c>
      <c r="J480" s="40">
        <f>SUM(J468:J479)</f>
        <v>12128.09</v>
      </c>
      <c r="K480" s="176">
        <f t="shared" ref="K480" si="62">SUM(K468:K479)</f>
        <v>10922</v>
      </c>
      <c r="L480" s="176">
        <f>SUM(L468:L479)</f>
        <v>13786.670000000002</v>
      </c>
      <c r="M480" s="77">
        <f t="shared" ref="M480" si="63">SUM(M468:M479)</f>
        <v>0</v>
      </c>
      <c r="N480" s="77">
        <f t="shared" ref="N480" si="64">SUM(N468:N479)</f>
        <v>19969.642</v>
      </c>
      <c r="O480" s="77">
        <f>SUM(O468:O479)</f>
        <v>19969.642</v>
      </c>
      <c r="P480" s="40">
        <f t="shared" ref="P480" si="65">SUM(P468:P479)</f>
        <v>19992</v>
      </c>
      <c r="Q480" s="40">
        <f>SUM(Q468:Q479)</f>
        <v>19992</v>
      </c>
      <c r="R480" s="119"/>
    </row>
    <row r="481" spans="2:18" ht="19.5" thickBot="1" x14ac:dyDescent="0.35">
      <c r="R481" s="119"/>
    </row>
    <row r="482" spans="2:18" ht="19.5" thickBot="1" x14ac:dyDescent="0.35">
      <c r="B482" s="417" t="s">
        <v>229</v>
      </c>
      <c r="C482" s="418"/>
      <c r="D482" s="418"/>
      <c r="E482" s="418"/>
      <c r="F482" s="418"/>
      <c r="G482" s="418"/>
      <c r="H482" s="418"/>
      <c r="I482" s="77">
        <f>I480+I462</f>
        <v>40128.239999999998</v>
      </c>
      <c r="J482" s="77">
        <f t="shared" ref="J482:P482" si="66">J480+J462</f>
        <v>37812.229999999996</v>
      </c>
      <c r="K482" s="77">
        <f t="shared" si="66"/>
        <v>38470</v>
      </c>
      <c r="L482" s="77">
        <f t="shared" si="66"/>
        <v>43923.890000000007</v>
      </c>
      <c r="M482" s="77">
        <f t="shared" si="66"/>
        <v>0</v>
      </c>
      <c r="N482" s="77">
        <f t="shared" si="66"/>
        <v>64101.917000000009</v>
      </c>
      <c r="O482" s="77">
        <f>O480+O462</f>
        <v>64101.917000000009</v>
      </c>
      <c r="P482" s="77">
        <f t="shared" si="66"/>
        <v>64145</v>
      </c>
      <c r="Q482" s="77">
        <f>Q480+Q462</f>
        <v>64145</v>
      </c>
      <c r="R482" s="119"/>
    </row>
    <row r="483" spans="2:18" ht="19.5" thickBot="1" x14ac:dyDescent="0.35">
      <c r="R483" s="119"/>
    </row>
    <row r="484" spans="2:18" ht="20.25" thickBot="1" x14ac:dyDescent="0.3">
      <c r="B484" s="399" t="s">
        <v>233</v>
      </c>
      <c r="C484" s="400"/>
      <c r="D484" s="400"/>
      <c r="E484" s="400"/>
      <c r="F484" s="400"/>
      <c r="G484" s="400"/>
      <c r="H484" s="400"/>
      <c r="I484" s="400"/>
      <c r="J484" s="400"/>
      <c r="K484" s="400"/>
      <c r="L484" s="400"/>
      <c r="M484" s="400"/>
      <c r="N484" s="400"/>
      <c r="O484" s="400"/>
      <c r="P484" s="400"/>
      <c r="Q484" s="401"/>
      <c r="R484" s="119"/>
    </row>
    <row r="485" spans="2:18" ht="16.5" customHeight="1" thickBot="1" x14ac:dyDescent="0.3">
      <c r="B485" s="402" t="s">
        <v>64</v>
      </c>
      <c r="C485" s="402" t="s">
        <v>65</v>
      </c>
      <c r="D485" s="402" t="s">
        <v>66</v>
      </c>
      <c r="E485" s="402" t="s">
        <v>67</v>
      </c>
      <c r="F485" s="402" t="s">
        <v>24</v>
      </c>
      <c r="G485" s="405" t="s">
        <v>25</v>
      </c>
      <c r="H485" s="402" t="s">
        <v>22</v>
      </c>
      <c r="I485" s="397" t="s">
        <v>68</v>
      </c>
      <c r="J485" s="397" t="s">
        <v>303</v>
      </c>
      <c r="K485" s="397" t="s">
        <v>365</v>
      </c>
      <c r="L485" s="397" t="s">
        <v>364</v>
      </c>
      <c r="M485" s="409" t="s">
        <v>18</v>
      </c>
      <c r="N485" s="410"/>
      <c r="O485" s="411"/>
      <c r="P485" s="421" t="s">
        <v>0</v>
      </c>
      <c r="Q485" s="397" t="s">
        <v>294</v>
      </c>
      <c r="R485" s="119"/>
    </row>
    <row r="486" spans="2:18" ht="31.5" customHeight="1" thickBot="1" x14ac:dyDescent="0.3">
      <c r="B486" s="403"/>
      <c r="C486" s="403"/>
      <c r="D486" s="403"/>
      <c r="E486" s="403"/>
      <c r="F486" s="403"/>
      <c r="G486" s="406"/>
      <c r="H486" s="403"/>
      <c r="I486" s="407"/>
      <c r="J486" s="407"/>
      <c r="K486" s="398"/>
      <c r="L486" s="408"/>
      <c r="M486" s="72">
        <v>111</v>
      </c>
      <c r="N486" s="72">
        <v>41</v>
      </c>
      <c r="O486" s="73" t="s">
        <v>106</v>
      </c>
      <c r="P486" s="422"/>
      <c r="Q486" s="407"/>
      <c r="R486" s="119"/>
    </row>
    <row r="487" spans="2:18" ht="16.5" thickBot="1" x14ac:dyDescent="0.3">
      <c r="B487" s="55" t="s">
        <v>70</v>
      </c>
      <c r="C487" s="67" t="s">
        <v>71</v>
      </c>
      <c r="D487" s="55" t="s">
        <v>72</v>
      </c>
      <c r="E487" s="55" t="s">
        <v>73</v>
      </c>
      <c r="F487" s="56" t="s">
        <v>74</v>
      </c>
      <c r="G487" s="66" t="s">
        <v>75</v>
      </c>
      <c r="H487" s="55" t="s">
        <v>76</v>
      </c>
      <c r="I487" s="57">
        <v>1</v>
      </c>
      <c r="J487" s="57">
        <v>2</v>
      </c>
      <c r="K487" s="57" t="s">
        <v>152</v>
      </c>
      <c r="L487" s="57" t="s">
        <v>366</v>
      </c>
      <c r="M487" s="75" t="s">
        <v>336</v>
      </c>
      <c r="N487" s="75" t="s">
        <v>337</v>
      </c>
      <c r="O487" s="75" t="s">
        <v>338</v>
      </c>
      <c r="P487" s="65" t="s">
        <v>339</v>
      </c>
      <c r="Q487" s="57" t="s">
        <v>340</v>
      </c>
      <c r="R487" s="119"/>
    </row>
    <row r="488" spans="2:18" ht="15.75" x14ac:dyDescent="0.25">
      <c r="B488" s="142" t="s">
        <v>214</v>
      </c>
      <c r="C488" s="145">
        <v>6</v>
      </c>
      <c r="D488" s="145">
        <v>0</v>
      </c>
      <c r="E488" s="145">
        <v>1</v>
      </c>
      <c r="F488" s="145">
        <v>611</v>
      </c>
      <c r="G488" s="142"/>
      <c r="H488" s="145" t="s">
        <v>140</v>
      </c>
      <c r="I488" s="160">
        <v>14541.36</v>
      </c>
      <c r="J488" s="160">
        <v>17048.89</v>
      </c>
      <c r="K488" s="160">
        <v>17136</v>
      </c>
      <c r="L488" s="163">
        <v>19492.32</v>
      </c>
      <c r="M488" s="189">
        <v>0</v>
      </c>
      <c r="N488" s="322">
        <v>26248</v>
      </c>
      <c r="O488" s="191">
        <f>M488+N488</f>
        <v>26248</v>
      </c>
      <c r="P488" s="160">
        <v>26248</v>
      </c>
      <c r="Q488" s="160">
        <v>26248</v>
      </c>
      <c r="R488" s="119"/>
    </row>
    <row r="489" spans="2:18" ht="15.75" x14ac:dyDescent="0.25">
      <c r="B489" s="143" t="s">
        <v>214</v>
      </c>
      <c r="C489" s="146">
        <v>6</v>
      </c>
      <c r="D489" s="146">
        <v>0</v>
      </c>
      <c r="E489" s="146">
        <v>1</v>
      </c>
      <c r="F489" s="146">
        <v>614</v>
      </c>
      <c r="G489" s="143"/>
      <c r="H489" s="146" t="s">
        <v>141</v>
      </c>
      <c r="I489" s="161">
        <v>0</v>
      </c>
      <c r="J489" s="161">
        <v>0</v>
      </c>
      <c r="K489" s="161">
        <v>0</v>
      </c>
      <c r="L489" s="164">
        <v>0</v>
      </c>
      <c r="M489" s="183">
        <v>0</v>
      </c>
      <c r="N489" s="268">
        <v>0</v>
      </c>
      <c r="O489" s="184">
        <v>0</v>
      </c>
      <c r="P489" s="161">
        <v>0</v>
      </c>
      <c r="Q489" s="161">
        <v>0</v>
      </c>
      <c r="R489" s="119"/>
    </row>
    <row r="490" spans="2:18" ht="15.75" x14ac:dyDescent="0.25">
      <c r="B490" s="143" t="s">
        <v>214</v>
      </c>
      <c r="C490" s="146">
        <v>6</v>
      </c>
      <c r="D490" s="146">
        <v>0</v>
      </c>
      <c r="E490" s="146">
        <v>1</v>
      </c>
      <c r="F490" s="146">
        <v>621</v>
      </c>
      <c r="G490" s="143"/>
      <c r="H490" s="146" t="s">
        <v>379</v>
      </c>
      <c r="I490" s="161">
        <v>1471.39</v>
      </c>
      <c r="J490" s="161">
        <v>1723.36</v>
      </c>
      <c r="K490" s="161">
        <v>5989</v>
      </c>
      <c r="L490" s="164">
        <v>1155.49</v>
      </c>
      <c r="M490" s="183">
        <v>0</v>
      </c>
      <c r="N490" s="268">
        <v>1312.4</v>
      </c>
      <c r="O490" s="184">
        <f t="shared" ref="O490:O505" si="67">N490+M490</f>
        <v>1312.4</v>
      </c>
      <c r="P490" s="161">
        <v>1320</v>
      </c>
      <c r="Q490" s="161">
        <v>1320</v>
      </c>
      <c r="R490" s="119"/>
    </row>
    <row r="491" spans="2:18" ht="15.75" x14ac:dyDescent="0.25">
      <c r="B491" s="143" t="s">
        <v>214</v>
      </c>
      <c r="C491" s="146">
        <v>6</v>
      </c>
      <c r="D491" s="146">
        <v>0</v>
      </c>
      <c r="E491" s="146">
        <v>1</v>
      </c>
      <c r="F491" s="146">
        <v>623</v>
      </c>
      <c r="G491" s="143"/>
      <c r="H491" s="146" t="s">
        <v>378</v>
      </c>
      <c r="I491" s="161">
        <v>0</v>
      </c>
      <c r="J491" s="161">
        <v>0</v>
      </c>
      <c r="K491" s="161">
        <v>0</v>
      </c>
      <c r="L491" s="164">
        <v>774.57</v>
      </c>
      <c r="M491" s="183">
        <v>0</v>
      </c>
      <c r="N491" s="268">
        <v>1312.4</v>
      </c>
      <c r="O491" s="184">
        <f t="shared" si="67"/>
        <v>1312.4</v>
      </c>
      <c r="P491" s="161">
        <v>1320</v>
      </c>
      <c r="Q491" s="161">
        <v>1320</v>
      </c>
      <c r="R491" s="119"/>
    </row>
    <row r="492" spans="2:18" ht="15.75" x14ac:dyDescent="0.25">
      <c r="B492" s="143" t="s">
        <v>214</v>
      </c>
      <c r="C492" s="146">
        <v>6</v>
      </c>
      <c r="D492" s="146">
        <v>0</v>
      </c>
      <c r="E492" s="146">
        <v>1</v>
      </c>
      <c r="F492" s="146">
        <v>625</v>
      </c>
      <c r="G492" s="143" t="s">
        <v>30</v>
      </c>
      <c r="H492" s="146" t="s">
        <v>321</v>
      </c>
      <c r="I492" s="161">
        <v>203.5</v>
      </c>
      <c r="J492" s="161">
        <v>238.58</v>
      </c>
      <c r="K492" s="161">
        <v>0</v>
      </c>
      <c r="L492" s="164">
        <v>266.56</v>
      </c>
      <c r="M492" s="183">
        <v>0</v>
      </c>
      <c r="N492" s="268">
        <v>367.47199999999998</v>
      </c>
      <c r="O492" s="184">
        <f t="shared" si="67"/>
        <v>367.47199999999998</v>
      </c>
      <c r="P492" s="161">
        <v>370</v>
      </c>
      <c r="Q492" s="161">
        <v>370</v>
      </c>
      <c r="R492" s="119"/>
    </row>
    <row r="493" spans="2:18" ht="15.75" x14ac:dyDescent="0.25">
      <c r="B493" s="143" t="s">
        <v>214</v>
      </c>
      <c r="C493" s="146">
        <v>6</v>
      </c>
      <c r="D493" s="146">
        <v>0</v>
      </c>
      <c r="E493" s="146">
        <v>1</v>
      </c>
      <c r="F493" s="146">
        <v>625</v>
      </c>
      <c r="G493" s="143" t="s">
        <v>31</v>
      </c>
      <c r="H493" s="146" t="s">
        <v>322</v>
      </c>
      <c r="I493" s="161">
        <v>2035.71</v>
      </c>
      <c r="J493" s="161">
        <v>2386.83</v>
      </c>
      <c r="K493" s="161">
        <v>0</v>
      </c>
      <c r="L493" s="164">
        <v>2676.22</v>
      </c>
      <c r="M493" s="183">
        <v>0</v>
      </c>
      <c r="N493" s="268">
        <v>3674.72</v>
      </c>
      <c r="O493" s="184">
        <f t="shared" si="67"/>
        <v>3674.72</v>
      </c>
      <c r="P493" s="161">
        <v>3675</v>
      </c>
      <c r="Q493" s="161">
        <v>3675</v>
      </c>
      <c r="R493" s="119"/>
    </row>
    <row r="494" spans="2:18" ht="15.75" x14ac:dyDescent="0.25">
      <c r="B494" s="143" t="s">
        <v>214</v>
      </c>
      <c r="C494" s="146">
        <v>6</v>
      </c>
      <c r="D494" s="146">
        <v>0</v>
      </c>
      <c r="E494" s="146">
        <v>1</v>
      </c>
      <c r="F494" s="146">
        <v>625</v>
      </c>
      <c r="G494" s="143" t="s">
        <v>29</v>
      </c>
      <c r="H494" s="146" t="s">
        <v>323</v>
      </c>
      <c r="I494" s="161">
        <v>116.24</v>
      </c>
      <c r="J494" s="161">
        <v>136.33000000000001</v>
      </c>
      <c r="K494" s="161">
        <v>0</v>
      </c>
      <c r="L494" s="164">
        <v>151.91</v>
      </c>
      <c r="M494" s="183">
        <v>0</v>
      </c>
      <c r="N494" s="268">
        <v>209.98400000000001</v>
      </c>
      <c r="O494" s="184">
        <f t="shared" si="67"/>
        <v>209.98400000000001</v>
      </c>
      <c r="P494" s="161">
        <v>210</v>
      </c>
      <c r="Q494" s="161">
        <v>210</v>
      </c>
      <c r="R494" s="119"/>
    </row>
    <row r="495" spans="2:18" ht="15.75" x14ac:dyDescent="0.25">
      <c r="B495" s="143"/>
      <c r="C495" s="146"/>
      <c r="D495" s="146"/>
      <c r="E495" s="146"/>
      <c r="F495" s="146">
        <v>625</v>
      </c>
      <c r="G495" s="143" t="s">
        <v>34</v>
      </c>
      <c r="H495" s="146" t="s">
        <v>324</v>
      </c>
      <c r="I495" s="161">
        <v>436.15</v>
      </c>
      <c r="J495" s="161">
        <v>511.45</v>
      </c>
      <c r="K495" s="161">
        <v>0</v>
      </c>
      <c r="L495" s="164">
        <v>571.53</v>
      </c>
      <c r="M495" s="183">
        <v>0</v>
      </c>
      <c r="N495" s="268">
        <v>787.44</v>
      </c>
      <c r="O495" s="184">
        <f t="shared" si="67"/>
        <v>787.44</v>
      </c>
      <c r="P495" s="161">
        <v>790</v>
      </c>
      <c r="Q495" s="161">
        <v>790</v>
      </c>
      <c r="R495" s="119"/>
    </row>
    <row r="496" spans="2:18" ht="15.75" x14ac:dyDescent="0.25">
      <c r="B496" s="143" t="s">
        <v>214</v>
      </c>
      <c r="C496" s="146">
        <v>6</v>
      </c>
      <c r="D496" s="146">
        <v>0</v>
      </c>
      <c r="E496" s="146">
        <v>1</v>
      </c>
      <c r="F496" s="146">
        <v>625</v>
      </c>
      <c r="G496" s="143" t="s">
        <v>107</v>
      </c>
      <c r="H496" s="146" t="s">
        <v>325</v>
      </c>
      <c r="I496" s="161">
        <v>145.33000000000001</v>
      </c>
      <c r="J496" s="161">
        <v>170.46</v>
      </c>
      <c r="K496" s="161">
        <v>0</v>
      </c>
      <c r="L496" s="164">
        <v>190.09</v>
      </c>
      <c r="M496" s="183">
        <v>0</v>
      </c>
      <c r="N496" s="268">
        <v>262.48</v>
      </c>
      <c r="O496" s="184">
        <f t="shared" si="67"/>
        <v>262.48</v>
      </c>
      <c r="P496" s="161">
        <v>263</v>
      </c>
      <c r="Q496" s="161">
        <v>263</v>
      </c>
      <c r="R496" s="119"/>
    </row>
    <row r="497" spans="2:18" ht="15.75" x14ac:dyDescent="0.25">
      <c r="B497" s="143" t="s">
        <v>214</v>
      </c>
      <c r="C497" s="146">
        <v>6</v>
      </c>
      <c r="D497" s="146">
        <v>0</v>
      </c>
      <c r="E497" s="146">
        <v>1</v>
      </c>
      <c r="F497" s="146">
        <v>625</v>
      </c>
      <c r="G497" s="143" t="s">
        <v>108</v>
      </c>
      <c r="H497" s="146" t="s">
        <v>326</v>
      </c>
      <c r="I497" s="161">
        <v>690.59</v>
      </c>
      <c r="J497" s="161">
        <v>809.76</v>
      </c>
      <c r="K497" s="161">
        <v>0</v>
      </c>
      <c r="L497" s="164">
        <v>908.62</v>
      </c>
      <c r="M497" s="183">
        <v>0</v>
      </c>
      <c r="N497" s="268">
        <v>1246.78</v>
      </c>
      <c r="O497" s="184">
        <f t="shared" si="67"/>
        <v>1246.78</v>
      </c>
      <c r="P497" s="161">
        <v>1250</v>
      </c>
      <c r="Q497" s="161">
        <v>1250</v>
      </c>
      <c r="R497" s="119"/>
    </row>
    <row r="498" spans="2:18" ht="15.75" x14ac:dyDescent="0.25">
      <c r="B498" s="143" t="s">
        <v>214</v>
      </c>
      <c r="C498" s="146">
        <v>6</v>
      </c>
      <c r="D498" s="146">
        <v>0</v>
      </c>
      <c r="E498" s="146">
        <v>1</v>
      </c>
      <c r="F498" s="146">
        <v>627</v>
      </c>
      <c r="G498" s="143"/>
      <c r="H498" s="146" t="s">
        <v>327</v>
      </c>
      <c r="I498" s="161">
        <v>173.07</v>
      </c>
      <c r="J498" s="161">
        <v>185.42</v>
      </c>
      <c r="K498" s="161">
        <v>0</v>
      </c>
      <c r="L498" s="164">
        <v>214.2</v>
      </c>
      <c r="M498" s="183">
        <v>0</v>
      </c>
      <c r="N498" s="268">
        <v>524.96</v>
      </c>
      <c r="O498" s="184">
        <f t="shared" si="67"/>
        <v>524.96</v>
      </c>
      <c r="P498" s="161">
        <v>530</v>
      </c>
      <c r="Q498" s="161">
        <v>530</v>
      </c>
      <c r="R498" s="119"/>
    </row>
    <row r="499" spans="2:18" ht="31.5" x14ac:dyDescent="0.25">
      <c r="B499" s="143" t="s">
        <v>214</v>
      </c>
      <c r="C499" s="146">
        <v>6</v>
      </c>
      <c r="D499" s="146">
        <v>0</v>
      </c>
      <c r="E499" s="146">
        <v>1</v>
      </c>
      <c r="F499" s="146">
        <v>633</v>
      </c>
      <c r="G499" s="143" t="s">
        <v>34</v>
      </c>
      <c r="H499" s="178" t="s">
        <v>89</v>
      </c>
      <c r="I499" s="161">
        <v>0</v>
      </c>
      <c r="J499" s="161">
        <v>29.9</v>
      </c>
      <c r="K499" s="161">
        <v>1000</v>
      </c>
      <c r="L499" s="161">
        <v>557.79999999999995</v>
      </c>
      <c r="M499" s="183">
        <v>0</v>
      </c>
      <c r="N499" s="268">
        <v>500</v>
      </c>
      <c r="O499" s="184">
        <f t="shared" si="67"/>
        <v>500</v>
      </c>
      <c r="P499" s="161">
        <v>500</v>
      </c>
      <c r="Q499" s="161">
        <v>550</v>
      </c>
      <c r="R499" s="119"/>
    </row>
    <row r="500" spans="2:18" ht="15.75" x14ac:dyDescent="0.25">
      <c r="B500" s="143" t="s">
        <v>214</v>
      </c>
      <c r="C500" s="146">
        <v>6</v>
      </c>
      <c r="D500" s="146">
        <v>0</v>
      </c>
      <c r="E500" s="146">
        <v>1</v>
      </c>
      <c r="F500" s="146">
        <v>633</v>
      </c>
      <c r="G500" s="143" t="s">
        <v>35</v>
      </c>
      <c r="H500" s="146" t="s">
        <v>90</v>
      </c>
      <c r="I500" s="161">
        <v>218.37</v>
      </c>
      <c r="J500" s="161">
        <v>298.85000000000002</v>
      </c>
      <c r="K500" s="161">
        <v>1200</v>
      </c>
      <c r="L500" s="161">
        <v>387.33</v>
      </c>
      <c r="M500" s="181">
        <v>0</v>
      </c>
      <c r="N500" s="268">
        <v>300</v>
      </c>
      <c r="O500" s="184">
        <f t="shared" si="67"/>
        <v>300</v>
      </c>
      <c r="P500" s="161">
        <v>300</v>
      </c>
      <c r="Q500" s="161">
        <v>350</v>
      </c>
      <c r="R500" s="119"/>
    </row>
    <row r="501" spans="2:18" ht="15.75" x14ac:dyDescent="0.25">
      <c r="B501" s="143" t="s">
        <v>214</v>
      </c>
      <c r="C501" s="146">
        <v>6</v>
      </c>
      <c r="D501" s="146">
        <v>0</v>
      </c>
      <c r="E501" s="146">
        <v>1</v>
      </c>
      <c r="F501" s="146">
        <v>633</v>
      </c>
      <c r="G501" s="143" t="s">
        <v>125</v>
      </c>
      <c r="H501" s="146" t="s">
        <v>93</v>
      </c>
      <c r="I501" s="161">
        <v>156.18</v>
      </c>
      <c r="J501" s="161">
        <v>0</v>
      </c>
      <c r="K501" s="161">
        <v>500</v>
      </c>
      <c r="L501" s="161">
        <v>0</v>
      </c>
      <c r="M501" s="183">
        <v>0</v>
      </c>
      <c r="N501" s="268">
        <v>300</v>
      </c>
      <c r="O501" s="184">
        <f t="shared" si="67"/>
        <v>300</v>
      </c>
      <c r="P501" s="161">
        <v>300</v>
      </c>
      <c r="Q501" s="161">
        <v>300</v>
      </c>
      <c r="R501" s="119"/>
    </row>
    <row r="502" spans="2:18" ht="31.5" x14ac:dyDescent="0.25">
      <c r="B502" s="143" t="s">
        <v>214</v>
      </c>
      <c r="C502" s="146">
        <v>6</v>
      </c>
      <c r="D502" s="146">
        <v>0</v>
      </c>
      <c r="E502" s="146">
        <v>1</v>
      </c>
      <c r="F502" s="146">
        <v>635</v>
      </c>
      <c r="G502" s="143" t="s">
        <v>107</v>
      </c>
      <c r="H502" s="178" t="s">
        <v>234</v>
      </c>
      <c r="I502" s="161">
        <v>114.6</v>
      </c>
      <c r="J502" s="161">
        <v>0</v>
      </c>
      <c r="K502" s="161">
        <v>1500</v>
      </c>
      <c r="L502" s="161">
        <v>0</v>
      </c>
      <c r="M502" s="183">
        <v>0</v>
      </c>
      <c r="N502" s="268">
        <v>200</v>
      </c>
      <c r="O502" s="184">
        <f t="shared" si="67"/>
        <v>200</v>
      </c>
      <c r="P502" s="161">
        <v>200</v>
      </c>
      <c r="Q502" s="161">
        <v>200</v>
      </c>
      <c r="R502" s="119"/>
    </row>
    <row r="503" spans="2:18" ht="15.75" x14ac:dyDescent="0.25">
      <c r="B503" s="143" t="s">
        <v>214</v>
      </c>
      <c r="C503" s="146">
        <v>6</v>
      </c>
      <c r="D503" s="146">
        <v>0</v>
      </c>
      <c r="E503" s="146">
        <v>1</v>
      </c>
      <c r="F503" s="146">
        <v>635</v>
      </c>
      <c r="G503" s="143" t="s">
        <v>124</v>
      </c>
      <c r="H503" s="146" t="s">
        <v>235</v>
      </c>
      <c r="I503" s="161">
        <v>0</v>
      </c>
      <c r="J503" s="161">
        <v>99</v>
      </c>
      <c r="K503" s="161">
        <v>100</v>
      </c>
      <c r="L503" s="161">
        <v>0</v>
      </c>
      <c r="M503" s="183">
        <v>0</v>
      </c>
      <c r="N503" s="268">
        <v>0</v>
      </c>
      <c r="O503" s="184">
        <f t="shared" si="67"/>
        <v>0</v>
      </c>
      <c r="P503" s="161">
        <v>0</v>
      </c>
      <c r="Q503" s="161">
        <v>0</v>
      </c>
      <c r="R503" s="119"/>
    </row>
    <row r="504" spans="2:18" ht="31.5" x14ac:dyDescent="0.25">
      <c r="B504" s="207" t="s">
        <v>214</v>
      </c>
      <c r="C504" s="166">
        <v>6</v>
      </c>
      <c r="D504" s="166">
        <v>0</v>
      </c>
      <c r="E504" s="166">
        <v>1</v>
      </c>
      <c r="F504" s="166">
        <v>635</v>
      </c>
      <c r="G504" s="207" t="s">
        <v>39</v>
      </c>
      <c r="H504" s="294" t="s">
        <v>358</v>
      </c>
      <c r="I504" s="167">
        <v>0</v>
      </c>
      <c r="J504" s="167">
        <v>0</v>
      </c>
      <c r="K504" s="167">
        <v>0</v>
      </c>
      <c r="L504" s="167">
        <v>99</v>
      </c>
      <c r="M504" s="183">
        <v>0</v>
      </c>
      <c r="N504" s="269">
        <v>100</v>
      </c>
      <c r="O504" s="186">
        <f t="shared" si="67"/>
        <v>100</v>
      </c>
      <c r="P504" s="167">
        <v>100</v>
      </c>
      <c r="Q504" s="167">
        <v>100</v>
      </c>
      <c r="R504" s="119"/>
    </row>
    <row r="505" spans="2:18" ht="16.5" thickBot="1" x14ac:dyDescent="0.3">
      <c r="B505" s="144" t="s">
        <v>214</v>
      </c>
      <c r="C505" s="147">
        <v>6</v>
      </c>
      <c r="D505" s="147">
        <v>0</v>
      </c>
      <c r="E505" s="147">
        <v>1</v>
      </c>
      <c r="F505" s="147">
        <v>637</v>
      </c>
      <c r="G505" s="144" t="s">
        <v>126</v>
      </c>
      <c r="H505" s="147" t="s">
        <v>382</v>
      </c>
      <c r="I505" s="162">
        <v>120.4</v>
      </c>
      <c r="J505" s="162">
        <v>139.91</v>
      </c>
      <c r="K505" s="162">
        <v>100</v>
      </c>
      <c r="L505" s="165">
        <v>178.01</v>
      </c>
      <c r="M505" s="181">
        <v>0</v>
      </c>
      <c r="N505" s="323">
        <v>262.48</v>
      </c>
      <c r="O505" s="194">
        <f t="shared" si="67"/>
        <v>262.48</v>
      </c>
      <c r="P505" s="162">
        <v>270</v>
      </c>
      <c r="Q505" s="162">
        <v>270</v>
      </c>
      <c r="R505" s="119"/>
    </row>
    <row r="506" spans="2:18" ht="19.5" thickBot="1" x14ac:dyDescent="0.35">
      <c r="B506" s="415" t="s">
        <v>236</v>
      </c>
      <c r="C506" s="416"/>
      <c r="D506" s="416"/>
      <c r="E506" s="416"/>
      <c r="F506" s="416"/>
      <c r="G506" s="416"/>
      <c r="H506" s="416"/>
      <c r="I506" s="171">
        <f t="shared" ref="I506:Q506" si="68">SUM(I488:I505)</f>
        <v>20422.890000000003</v>
      </c>
      <c r="J506" s="171">
        <f t="shared" si="68"/>
        <v>23778.74</v>
      </c>
      <c r="K506" s="171">
        <f t="shared" si="68"/>
        <v>27525</v>
      </c>
      <c r="L506" s="171">
        <f t="shared" si="68"/>
        <v>27623.65</v>
      </c>
      <c r="M506" s="78">
        <f t="shared" si="68"/>
        <v>0</v>
      </c>
      <c r="N506" s="78">
        <f t="shared" si="68"/>
        <v>37609.116000000009</v>
      </c>
      <c r="O506" s="78">
        <f>SUM(O488:O505)</f>
        <v>37609.116000000009</v>
      </c>
      <c r="P506" s="171">
        <f t="shared" si="68"/>
        <v>37646</v>
      </c>
      <c r="Q506" s="171">
        <f t="shared" si="68"/>
        <v>37746</v>
      </c>
      <c r="R506" s="119"/>
    </row>
    <row r="507" spans="2:18" ht="18.75" customHeight="1" thickBot="1" x14ac:dyDescent="0.35">
      <c r="R507" s="119"/>
    </row>
    <row r="508" spans="2:18" ht="20.25" thickBot="1" x14ac:dyDescent="0.3">
      <c r="B508" s="399" t="s">
        <v>237</v>
      </c>
      <c r="C508" s="400"/>
      <c r="D508" s="400"/>
      <c r="E508" s="400"/>
      <c r="F508" s="400"/>
      <c r="G508" s="400"/>
      <c r="H508" s="400"/>
      <c r="I508" s="400"/>
      <c r="J508" s="400"/>
      <c r="K508" s="400"/>
      <c r="L508" s="400"/>
      <c r="M508" s="400"/>
      <c r="N508" s="400"/>
      <c r="O508" s="400"/>
      <c r="P508" s="400"/>
      <c r="Q508" s="401"/>
      <c r="R508" s="119"/>
    </row>
    <row r="509" spans="2:18" ht="16.5" customHeight="1" thickBot="1" x14ac:dyDescent="0.3">
      <c r="B509" s="402" t="s">
        <v>64</v>
      </c>
      <c r="C509" s="402" t="s">
        <v>65</v>
      </c>
      <c r="D509" s="402" t="s">
        <v>66</v>
      </c>
      <c r="E509" s="402" t="s">
        <v>67</v>
      </c>
      <c r="F509" s="402" t="s">
        <v>24</v>
      </c>
      <c r="G509" s="405" t="s">
        <v>25</v>
      </c>
      <c r="H509" s="402" t="s">
        <v>22</v>
      </c>
      <c r="I509" s="397" t="s">
        <v>68</v>
      </c>
      <c r="J509" s="397" t="s">
        <v>303</v>
      </c>
      <c r="K509" s="397" t="s">
        <v>365</v>
      </c>
      <c r="L509" s="397" t="s">
        <v>364</v>
      </c>
      <c r="M509" s="409" t="s">
        <v>18</v>
      </c>
      <c r="N509" s="410"/>
      <c r="O509" s="411"/>
      <c r="P509" s="421" t="s">
        <v>0</v>
      </c>
      <c r="Q509" s="397" t="s">
        <v>294</v>
      </c>
      <c r="R509" s="119"/>
    </row>
    <row r="510" spans="2:18" ht="34.5" customHeight="1" thickBot="1" x14ac:dyDescent="0.3">
      <c r="B510" s="404"/>
      <c r="C510" s="404"/>
      <c r="D510" s="404"/>
      <c r="E510" s="404"/>
      <c r="F510" s="404"/>
      <c r="G510" s="419"/>
      <c r="H510" s="404"/>
      <c r="I510" s="407"/>
      <c r="J510" s="407"/>
      <c r="K510" s="398"/>
      <c r="L510" s="408"/>
      <c r="M510" s="72" t="s">
        <v>27</v>
      </c>
      <c r="N510" s="72">
        <v>41</v>
      </c>
      <c r="O510" s="73" t="s">
        <v>106</v>
      </c>
      <c r="P510" s="422"/>
      <c r="Q510" s="407"/>
      <c r="R510" s="119"/>
    </row>
    <row r="511" spans="2:18" ht="16.5" thickBot="1" x14ac:dyDescent="0.3">
      <c r="B511" s="55" t="s">
        <v>70</v>
      </c>
      <c r="C511" s="55" t="s">
        <v>71</v>
      </c>
      <c r="D511" s="55" t="s">
        <v>72</v>
      </c>
      <c r="E511" s="55" t="s">
        <v>73</v>
      </c>
      <c r="F511" s="55" t="s">
        <v>74</v>
      </c>
      <c r="G511" s="57" t="s">
        <v>75</v>
      </c>
      <c r="H511" s="55" t="s">
        <v>76</v>
      </c>
      <c r="I511" s="57">
        <v>1</v>
      </c>
      <c r="J511" s="57">
        <v>2</v>
      </c>
      <c r="K511" s="57" t="s">
        <v>152</v>
      </c>
      <c r="L511" s="57" t="s">
        <v>366</v>
      </c>
      <c r="M511" s="75" t="s">
        <v>336</v>
      </c>
      <c r="N511" s="75" t="s">
        <v>337</v>
      </c>
      <c r="O511" s="75" t="s">
        <v>338</v>
      </c>
      <c r="P511" s="57" t="s">
        <v>339</v>
      </c>
      <c r="Q511" s="57" t="s">
        <v>340</v>
      </c>
      <c r="R511" s="119"/>
    </row>
    <row r="512" spans="2:18" ht="15.75" x14ac:dyDescent="0.25">
      <c r="B512" s="142" t="s">
        <v>238</v>
      </c>
      <c r="C512" s="145">
        <v>2</v>
      </c>
      <c r="D512" s="145">
        <v>0</v>
      </c>
      <c r="E512" s="145"/>
      <c r="F512" s="145">
        <v>611</v>
      </c>
      <c r="G512" s="142"/>
      <c r="H512" s="209" t="s">
        <v>140</v>
      </c>
      <c r="I512" s="160">
        <v>95375.75</v>
      </c>
      <c r="J512" s="160">
        <f>47779+35585.96</f>
        <v>83364.959999999992</v>
      </c>
      <c r="K512" s="160">
        <f>42000+47841</f>
        <v>89841</v>
      </c>
      <c r="L512" s="163">
        <v>74741.070000000007</v>
      </c>
      <c r="M512" s="189">
        <v>37955</v>
      </c>
      <c r="N512" s="190">
        <v>42825</v>
      </c>
      <c r="O512" s="191">
        <f t="shared" ref="O512:O524" si="69">N512+M512</f>
        <v>80780</v>
      </c>
      <c r="P512" s="160">
        <v>80780</v>
      </c>
      <c r="Q512" s="160">
        <v>80780</v>
      </c>
      <c r="R512" s="119"/>
    </row>
    <row r="513" spans="2:18" ht="15.75" x14ac:dyDescent="0.25">
      <c r="B513" s="143" t="s">
        <v>238</v>
      </c>
      <c r="C513" s="146">
        <v>2</v>
      </c>
      <c r="D513" s="146">
        <v>0</v>
      </c>
      <c r="E513" s="146"/>
      <c r="F513" s="146">
        <v>614</v>
      </c>
      <c r="G513" s="143"/>
      <c r="H513" s="228" t="s">
        <v>141</v>
      </c>
      <c r="I513" s="161">
        <v>0</v>
      </c>
      <c r="J513" s="161">
        <v>6133.63</v>
      </c>
      <c r="K513" s="161">
        <v>0</v>
      </c>
      <c r="L513" s="164">
        <v>0</v>
      </c>
      <c r="M513" s="183">
        <v>0</v>
      </c>
      <c r="N513" s="172">
        <v>0</v>
      </c>
      <c r="O513" s="184">
        <f t="shared" si="69"/>
        <v>0</v>
      </c>
      <c r="P513" s="161">
        <v>0</v>
      </c>
      <c r="Q513" s="161">
        <v>0</v>
      </c>
      <c r="R513" s="119"/>
    </row>
    <row r="514" spans="2:18" ht="15.75" x14ac:dyDescent="0.25">
      <c r="B514" s="143" t="s">
        <v>238</v>
      </c>
      <c r="C514" s="146">
        <v>2</v>
      </c>
      <c r="D514" s="146">
        <v>0</v>
      </c>
      <c r="E514" s="146"/>
      <c r="F514" s="146">
        <v>621</v>
      </c>
      <c r="G514" s="143"/>
      <c r="H514" s="228" t="s">
        <v>380</v>
      </c>
      <c r="I514" s="161">
        <v>5327.52</v>
      </c>
      <c r="J514" s="161">
        <v>4621.29</v>
      </c>
      <c r="K514" s="161">
        <f>15120+16280</f>
        <v>31400</v>
      </c>
      <c r="L514" s="164">
        <f>1632.57+1772.83</f>
        <v>3405.3999999999996</v>
      </c>
      <c r="M514" s="183">
        <v>1897.75</v>
      </c>
      <c r="N514" s="172">
        <v>1284.75</v>
      </c>
      <c r="O514" s="184">
        <f t="shared" si="69"/>
        <v>3182.5</v>
      </c>
      <c r="P514" s="161">
        <v>3185</v>
      </c>
      <c r="Q514" s="161">
        <v>3185</v>
      </c>
      <c r="R514" s="119"/>
    </row>
    <row r="515" spans="2:18" ht="15.75" x14ac:dyDescent="0.25">
      <c r="B515" s="143" t="s">
        <v>238</v>
      </c>
      <c r="C515" s="146">
        <v>2</v>
      </c>
      <c r="D515" s="146">
        <v>0</v>
      </c>
      <c r="E515" s="146"/>
      <c r="F515" s="146">
        <v>623</v>
      </c>
      <c r="G515" s="143"/>
      <c r="H515" s="146" t="s">
        <v>381</v>
      </c>
      <c r="I515" s="161">
        <v>3870.15</v>
      </c>
      <c r="J515" s="161">
        <f>2365.53+1773.89</f>
        <v>4139.42</v>
      </c>
      <c r="K515" s="161">
        <v>0</v>
      </c>
      <c r="L515" s="164">
        <f>1196.2+1526.12</f>
        <v>2722.3199999999997</v>
      </c>
      <c r="M515" s="183">
        <v>1897.75</v>
      </c>
      <c r="N515" s="172">
        <v>2997.75</v>
      </c>
      <c r="O515" s="184">
        <f t="shared" si="69"/>
        <v>4895.5</v>
      </c>
      <c r="P515" s="161">
        <v>4896</v>
      </c>
      <c r="Q515" s="161">
        <v>4896</v>
      </c>
      <c r="R515" s="119"/>
    </row>
    <row r="516" spans="2:18" ht="15.75" x14ac:dyDescent="0.25">
      <c r="B516" s="143" t="s">
        <v>238</v>
      </c>
      <c r="C516" s="146">
        <v>2</v>
      </c>
      <c r="D516" s="146">
        <v>0</v>
      </c>
      <c r="E516" s="146"/>
      <c r="F516" s="146">
        <v>625</v>
      </c>
      <c r="G516" s="143" t="s">
        <v>30</v>
      </c>
      <c r="H516" s="146" t="s">
        <v>321</v>
      </c>
      <c r="I516" s="161">
        <v>1329.86</v>
      </c>
      <c r="J516" s="161">
        <f>757.15+488.41</f>
        <v>1245.56</v>
      </c>
      <c r="K516" s="161">
        <v>0</v>
      </c>
      <c r="L516" s="164">
        <f>395.85+475</f>
        <v>870.85</v>
      </c>
      <c r="M516" s="183">
        <v>531.37</v>
      </c>
      <c r="N516" s="172">
        <v>599.54999999999995</v>
      </c>
      <c r="O516" s="184">
        <f t="shared" si="69"/>
        <v>1130.92</v>
      </c>
      <c r="P516" s="161">
        <v>1130</v>
      </c>
      <c r="Q516" s="161">
        <v>1130</v>
      </c>
      <c r="R516" s="119"/>
    </row>
    <row r="517" spans="2:18" ht="15.75" x14ac:dyDescent="0.25">
      <c r="B517" s="143" t="s">
        <v>238</v>
      </c>
      <c r="C517" s="146">
        <v>2</v>
      </c>
      <c r="D517" s="146">
        <v>0</v>
      </c>
      <c r="E517" s="146"/>
      <c r="F517" s="146">
        <v>625</v>
      </c>
      <c r="G517" s="143" t="s">
        <v>31</v>
      </c>
      <c r="H517" s="146" t="s">
        <v>322</v>
      </c>
      <c r="I517" s="161">
        <v>13165.4</v>
      </c>
      <c r="J517" s="161">
        <f>7575.59+4886.22</f>
        <v>12461.810000000001</v>
      </c>
      <c r="K517" s="161">
        <v>0</v>
      </c>
      <c r="L517" s="164">
        <f>3960.18+4752.31</f>
        <v>8712.49</v>
      </c>
      <c r="M517" s="183">
        <v>5313.7</v>
      </c>
      <c r="N517" s="172">
        <v>5995.5</v>
      </c>
      <c r="O517" s="184">
        <f>N517+M517</f>
        <v>11309.2</v>
      </c>
      <c r="P517" s="161">
        <v>11310</v>
      </c>
      <c r="Q517" s="161">
        <v>11310</v>
      </c>
      <c r="R517" s="119"/>
    </row>
    <row r="518" spans="2:18" ht="15.75" x14ac:dyDescent="0.25">
      <c r="B518" s="143" t="s">
        <v>238</v>
      </c>
      <c r="C518" s="146">
        <v>2</v>
      </c>
      <c r="D518" s="146">
        <v>0</v>
      </c>
      <c r="E518" s="146"/>
      <c r="F518" s="146">
        <v>625</v>
      </c>
      <c r="G518" s="143" t="s">
        <v>29</v>
      </c>
      <c r="H518" s="146" t="s">
        <v>323</v>
      </c>
      <c r="I518" s="161">
        <v>760.35</v>
      </c>
      <c r="J518" s="161">
        <f>432.51+288.17</f>
        <v>720.68000000000006</v>
      </c>
      <c r="K518" s="161">
        <v>0</v>
      </c>
      <c r="L518" s="164">
        <f>226.12+286.9</f>
        <v>513.02</v>
      </c>
      <c r="M518" s="183">
        <v>303.64</v>
      </c>
      <c r="N518" s="172">
        <v>342.6</v>
      </c>
      <c r="O518" s="184">
        <f t="shared" si="69"/>
        <v>646.24</v>
      </c>
      <c r="P518" s="161">
        <v>650</v>
      </c>
      <c r="Q518" s="161">
        <v>650</v>
      </c>
      <c r="R518" s="119"/>
    </row>
    <row r="519" spans="2:18" ht="15.75" x14ac:dyDescent="0.25">
      <c r="B519" s="143" t="s">
        <v>238</v>
      </c>
      <c r="C519" s="146">
        <v>2</v>
      </c>
      <c r="D519" s="146">
        <v>0</v>
      </c>
      <c r="E519" s="146"/>
      <c r="F519" s="146">
        <v>625</v>
      </c>
      <c r="G519" s="143" t="s">
        <v>34</v>
      </c>
      <c r="H519" s="146" t="s">
        <v>324</v>
      </c>
      <c r="I519" s="161">
        <v>2726.85</v>
      </c>
      <c r="J519" s="161">
        <f>1546.25+985.65</f>
        <v>2531.9</v>
      </c>
      <c r="K519" s="161">
        <v>0</v>
      </c>
      <c r="L519" s="164">
        <f>848.45+972.76</f>
        <v>1821.21</v>
      </c>
      <c r="M519" s="183">
        <v>1138.68</v>
      </c>
      <c r="N519" s="172">
        <v>1284.75</v>
      </c>
      <c r="O519" s="184">
        <f t="shared" si="69"/>
        <v>2423.4300000000003</v>
      </c>
      <c r="P519" s="161">
        <v>2425</v>
      </c>
      <c r="Q519" s="161">
        <v>2425</v>
      </c>
      <c r="R519" s="119"/>
    </row>
    <row r="520" spans="2:18" ht="15.75" x14ac:dyDescent="0.25">
      <c r="B520" s="143" t="s">
        <v>238</v>
      </c>
      <c r="C520" s="146">
        <v>2</v>
      </c>
      <c r="D520" s="146">
        <v>0</v>
      </c>
      <c r="E520" s="146"/>
      <c r="F520" s="146">
        <v>625</v>
      </c>
      <c r="G520" s="143" t="s">
        <v>107</v>
      </c>
      <c r="H520" s="146" t="s">
        <v>325</v>
      </c>
      <c r="I520" s="161">
        <v>908.71</v>
      </c>
      <c r="J520" s="161">
        <f>515.19+328.39</f>
        <v>843.58</v>
      </c>
      <c r="K520" s="161">
        <v>0</v>
      </c>
      <c r="L520" s="164">
        <f>282.55+326.19</f>
        <v>608.74</v>
      </c>
      <c r="M520" s="183">
        <v>379.55</v>
      </c>
      <c r="N520" s="172">
        <v>482.25</v>
      </c>
      <c r="O520" s="184">
        <f t="shared" si="69"/>
        <v>861.8</v>
      </c>
      <c r="P520" s="161">
        <v>865</v>
      </c>
      <c r="Q520" s="161">
        <v>865</v>
      </c>
      <c r="R520" s="119"/>
    </row>
    <row r="521" spans="2:18" ht="15.75" x14ac:dyDescent="0.25">
      <c r="B521" s="143" t="s">
        <v>238</v>
      </c>
      <c r="C521" s="146">
        <v>2</v>
      </c>
      <c r="D521" s="146">
        <v>0</v>
      </c>
      <c r="E521" s="146"/>
      <c r="F521" s="146">
        <v>625</v>
      </c>
      <c r="G521" s="143" t="s">
        <v>108</v>
      </c>
      <c r="H521" s="228" t="s">
        <v>326</v>
      </c>
      <c r="I521" s="161">
        <v>4513.92</v>
      </c>
      <c r="J521" s="161">
        <f>2569.99+1657.67</f>
        <v>4227.66</v>
      </c>
      <c r="K521" s="161">
        <v>0</v>
      </c>
      <c r="L521" s="164">
        <f>1343.51+1612.25</f>
        <v>2955.76</v>
      </c>
      <c r="M521" s="183">
        <v>1802.91</v>
      </c>
      <c r="N521" s="172">
        <v>2034.1875</v>
      </c>
      <c r="O521" s="184">
        <f t="shared" si="69"/>
        <v>3837.0974999999999</v>
      </c>
      <c r="P521" s="161">
        <v>3840</v>
      </c>
      <c r="Q521" s="161">
        <v>3840</v>
      </c>
      <c r="R521" s="119"/>
    </row>
    <row r="522" spans="2:18" ht="31.5" x14ac:dyDescent="0.25">
      <c r="B522" s="143" t="s">
        <v>238</v>
      </c>
      <c r="C522" s="146">
        <v>2</v>
      </c>
      <c r="D522" s="146">
        <v>0</v>
      </c>
      <c r="E522" s="146"/>
      <c r="F522" s="146">
        <v>627</v>
      </c>
      <c r="G522" s="143"/>
      <c r="H522" s="229" t="s">
        <v>351</v>
      </c>
      <c r="I522" s="161">
        <v>156.1</v>
      </c>
      <c r="J522" s="161">
        <f>93.05+72.26</f>
        <v>165.31</v>
      </c>
      <c r="K522" s="161">
        <v>0</v>
      </c>
      <c r="L522" s="164">
        <v>137.32</v>
      </c>
      <c r="M522" s="183">
        <v>759.1</v>
      </c>
      <c r="N522" s="172">
        <v>856.5</v>
      </c>
      <c r="O522" s="184">
        <f t="shared" si="69"/>
        <v>1615.6</v>
      </c>
      <c r="P522" s="161">
        <v>1620</v>
      </c>
      <c r="Q522" s="161">
        <v>1620</v>
      </c>
      <c r="R522" s="119"/>
    </row>
    <row r="523" spans="2:18" ht="15.75" x14ac:dyDescent="0.25">
      <c r="B523" s="143" t="s">
        <v>238</v>
      </c>
      <c r="C523" s="146">
        <v>2</v>
      </c>
      <c r="D523" s="146">
        <v>0</v>
      </c>
      <c r="E523" s="146"/>
      <c r="F523" s="146">
        <v>637</v>
      </c>
      <c r="G523" s="143" t="s">
        <v>127</v>
      </c>
      <c r="H523" s="228" t="s">
        <v>115</v>
      </c>
      <c r="I523" s="161">
        <v>7145.83</v>
      </c>
      <c r="J523" s="161">
        <v>6988.86</v>
      </c>
      <c r="K523" s="161">
        <v>7500</v>
      </c>
      <c r="L523" s="164">
        <v>5255.63</v>
      </c>
      <c r="M523" s="183"/>
      <c r="N523" s="172">
        <v>7700</v>
      </c>
      <c r="O523" s="184">
        <f>N523+M523</f>
        <v>7700</v>
      </c>
      <c r="P523" s="164">
        <v>7700</v>
      </c>
      <c r="Q523" s="164">
        <v>7700</v>
      </c>
      <c r="R523" s="119"/>
    </row>
    <row r="524" spans="2:18" ht="16.5" thickBot="1" x14ac:dyDescent="0.3">
      <c r="B524" s="144" t="s">
        <v>238</v>
      </c>
      <c r="C524" s="147">
        <v>2</v>
      </c>
      <c r="D524" s="147">
        <v>0</v>
      </c>
      <c r="E524" s="147"/>
      <c r="F524" s="147">
        <v>637</v>
      </c>
      <c r="G524" s="144" t="s">
        <v>126</v>
      </c>
      <c r="H524" s="146" t="s">
        <v>382</v>
      </c>
      <c r="I524" s="162">
        <v>862.13</v>
      </c>
      <c r="J524" s="162">
        <v>796.22</v>
      </c>
      <c r="K524" s="162">
        <v>900</v>
      </c>
      <c r="L524" s="165">
        <v>586.67999999999995</v>
      </c>
      <c r="M524" s="192">
        <v>380.55</v>
      </c>
      <c r="N524" s="193">
        <v>428.25</v>
      </c>
      <c r="O524" s="194">
        <f t="shared" si="69"/>
        <v>808.8</v>
      </c>
      <c r="P524" s="162">
        <v>810</v>
      </c>
      <c r="Q524" s="162">
        <v>810</v>
      </c>
      <c r="R524" s="119"/>
    </row>
    <row r="525" spans="2:18" ht="18.75" customHeight="1" thickBot="1" x14ac:dyDescent="0.35">
      <c r="B525" s="426" t="s">
        <v>239</v>
      </c>
      <c r="C525" s="427"/>
      <c r="D525" s="427"/>
      <c r="E525" s="427"/>
      <c r="F525" s="427"/>
      <c r="G525" s="427"/>
      <c r="H525" s="428"/>
      <c r="I525" s="101">
        <f>SUM(I512:I524)</f>
        <v>136142.57</v>
      </c>
      <c r="J525" s="171">
        <f t="shared" ref="J525:P525" si="70">SUM(J512:J524)</f>
        <v>128240.87999999998</v>
      </c>
      <c r="K525" s="171">
        <f>SUM(K512:K524)</f>
        <v>129641</v>
      </c>
      <c r="L525" s="171">
        <f t="shared" si="70"/>
        <v>102330.49000000003</v>
      </c>
      <c r="M525" s="78">
        <f>SUM(M512:M524)</f>
        <v>52360.000000000007</v>
      </c>
      <c r="N525" s="78">
        <f t="shared" si="70"/>
        <v>66831.087499999994</v>
      </c>
      <c r="O525" s="78">
        <f>SUM(O512:O524)</f>
        <v>119191.08750000002</v>
      </c>
      <c r="P525" s="171">
        <f t="shared" si="70"/>
        <v>119211</v>
      </c>
      <c r="Q525" s="171">
        <f>SUM(Q512:Q524)</f>
        <v>119211</v>
      </c>
      <c r="R525" s="119"/>
    </row>
    <row r="526" spans="2:18" ht="19.5" thickBot="1" x14ac:dyDescent="0.35">
      <c r="R526" s="119"/>
    </row>
    <row r="527" spans="2:18" ht="20.25" thickBot="1" x14ac:dyDescent="0.3">
      <c r="B527" s="399" t="s">
        <v>244</v>
      </c>
      <c r="C527" s="400"/>
      <c r="D527" s="400"/>
      <c r="E527" s="400"/>
      <c r="F527" s="400"/>
      <c r="G527" s="400"/>
      <c r="H527" s="400"/>
      <c r="I527" s="400"/>
      <c r="J527" s="400"/>
      <c r="K527" s="400"/>
      <c r="L527" s="400"/>
      <c r="M527" s="400"/>
      <c r="N527" s="400"/>
      <c r="O527" s="400"/>
      <c r="P527" s="400"/>
      <c r="Q527" s="401"/>
      <c r="R527" s="119"/>
    </row>
    <row r="528" spans="2:18" ht="16.5" customHeight="1" thickBot="1" x14ac:dyDescent="0.3">
      <c r="B528" s="402" t="s">
        <v>64</v>
      </c>
      <c r="C528" s="402" t="s">
        <v>65</v>
      </c>
      <c r="D528" s="402" t="s">
        <v>66</v>
      </c>
      <c r="E528" s="402" t="s">
        <v>67</v>
      </c>
      <c r="F528" s="402" t="s">
        <v>24</v>
      </c>
      <c r="G528" s="405" t="s">
        <v>25</v>
      </c>
      <c r="H528" s="402" t="s">
        <v>22</v>
      </c>
      <c r="I528" s="397" t="s">
        <v>68</v>
      </c>
      <c r="J528" s="397" t="s">
        <v>303</v>
      </c>
      <c r="K528" s="397" t="s">
        <v>365</v>
      </c>
      <c r="L528" s="397" t="s">
        <v>364</v>
      </c>
      <c r="M528" s="409" t="s">
        <v>18</v>
      </c>
      <c r="N528" s="410"/>
      <c r="O528" s="411"/>
      <c r="P528" s="421" t="s">
        <v>0</v>
      </c>
      <c r="Q528" s="397" t="s">
        <v>294</v>
      </c>
      <c r="R528" s="119"/>
    </row>
    <row r="529" spans="2:19" ht="34.5" customHeight="1" thickBot="1" x14ac:dyDescent="0.3">
      <c r="B529" s="404"/>
      <c r="C529" s="404"/>
      <c r="D529" s="404"/>
      <c r="E529" s="404"/>
      <c r="F529" s="404"/>
      <c r="G529" s="419"/>
      <c r="H529" s="404"/>
      <c r="I529" s="407"/>
      <c r="J529" s="407"/>
      <c r="K529" s="398"/>
      <c r="L529" s="408"/>
      <c r="M529" s="72">
        <v>111</v>
      </c>
      <c r="N529" s="72">
        <v>41</v>
      </c>
      <c r="O529" s="73" t="s">
        <v>106</v>
      </c>
      <c r="P529" s="422"/>
      <c r="Q529" s="407"/>
      <c r="R529" s="119"/>
    </row>
    <row r="530" spans="2:19" ht="16.5" thickBot="1" x14ac:dyDescent="0.3">
      <c r="B530" s="55" t="s">
        <v>70</v>
      </c>
      <c r="C530" s="55" t="s">
        <v>71</v>
      </c>
      <c r="D530" s="55" t="s">
        <v>72</v>
      </c>
      <c r="E530" s="55" t="s">
        <v>73</v>
      </c>
      <c r="F530" s="55" t="s">
        <v>74</v>
      </c>
      <c r="G530" s="57" t="s">
        <v>75</v>
      </c>
      <c r="H530" s="55" t="s">
        <v>76</v>
      </c>
      <c r="I530" s="57">
        <v>1</v>
      </c>
      <c r="J530" s="57">
        <v>2</v>
      </c>
      <c r="K530" s="57" t="s">
        <v>152</v>
      </c>
      <c r="L530" s="57" t="s">
        <v>366</v>
      </c>
      <c r="M530" s="75" t="s">
        <v>336</v>
      </c>
      <c r="N530" s="75" t="s">
        <v>337</v>
      </c>
      <c r="O530" s="75" t="s">
        <v>338</v>
      </c>
      <c r="P530" s="57" t="s">
        <v>339</v>
      </c>
      <c r="Q530" s="57" t="s">
        <v>340</v>
      </c>
      <c r="R530" s="119"/>
    </row>
    <row r="531" spans="2:19" ht="15.75" x14ac:dyDescent="0.25">
      <c r="B531" s="142" t="s">
        <v>238</v>
      </c>
      <c r="C531" s="145">
        <v>2</v>
      </c>
      <c r="D531" s="145">
        <v>0</v>
      </c>
      <c r="E531" s="145"/>
      <c r="F531" s="145">
        <v>632</v>
      </c>
      <c r="G531" s="142" t="s">
        <v>30</v>
      </c>
      <c r="H531" s="145" t="s">
        <v>83</v>
      </c>
      <c r="I531" s="160">
        <v>1559.49</v>
      </c>
      <c r="J531" s="160">
        <v>3676.51</v>
      </c>
      <c r="K531" s="160">
        <v>2500</v>
      </c>
      <c r="L531" s="160">
        <v>2334.08</v>
      </c>
      <c r="M531" s="189">
        <v>0</v>
      </c>
      <c r="N531" s="190">
        <v>3900</v>
      </c>
      <c r="O531" s="191">
        <f t="shared" ref="O531:O538" si="71">N531+M531</f>
        <v>3900</v>
      </c>
      <c r="P531" s="160">
        <v>3900</v>
      </c>
      <c r="Q531" s="160">
        <v>3900</v>
      </c>
      <c r="R531" s="119"/>
    </row>
    <row r="532" spans="2:19" ht="15.75" x14ac:dyDescent="0.25">
      <c r="B532" s="143" t="s">
        <v>238</v>
      </c>
      <c r="C532" s="146">
        <v>2</v>
      </c>
      <c r="D532" s="146">
        <v>0</v>
      </c>
      <c r="E532" s="146"/>
      <c r="F532" s="146">
        <v>632</v>
      </c>
      <c r="G532" s="143" t="s">
        <v>31</v>
      </c>
      <c r="H532" s="146" t="s">
        <v>84</v>
      </c>
      <c r="I532" s="161">
        <v>71.290000000000006</v>
      </c>
      <c r="J532" s="161">
        <v>49.26</v>
      </c>
      <c r="K532" s="161">
        <v>100</v>
      </c>
      <c r="L532" s="161">
        <v>40</v>
      </c>
      <c r="M532" s="183">
        <v>0</v>
      </c>
      <c r="N532" s="172">
        <v>100</v>
      </c>
      <c r="O532" s="184">
        <f t="shared" si="71"/>
        <v>100</v>
      </c>
      <c r="P532" s="161">
        <v>100</v>
      </c>
      <c r="Q532" s="161">
        <v>100</v>
      </c>
      <c r="R532" s="119"/>
    </row>
    <row r="533" spans="2:19" ht="15.75" x14ac:dyDescent="0.25">
      <c r="B533" s="143" t="s">
        <v>238</v>
      </c>
      <c r="C533" s="146">
        <v>2</v>
      </c>
      <c r="D533" s="146">
        <v>0</v>
      </c>
      <c r="E533" s="146"/>
      <c r="F533" s="146">
        <v>633</v>
      </c>
      <c r="G533" s="143" t="s">
        <v>35</v>
      </c>
      <c r="H533" s="146" t="s">
        <v>90</v>
      </c>
      <c r="I533" s="161">
        <v>52.77</v>
      </c>
      <c r="J533" s="161">
        <v>0</v>
      </c>
      <c r="K533" s="161">
        <v>150</v>
      </c>
      <c r="L533" s="161">
        <v>5.81</v>
      </c>
      <c r="M533" s="183">
        <v>0</v>
      </c>
      <c r="N533" s="172">
        <v>50</v>
      </c>
      <c r="O533" s="184">
        <f t="shared" si="71"/>
        <v>50</v>
      </c>
      <c r="P533" s="161">
        <v>50</v>
      </c>
      <c r="Q533" s="161">
        <v>50</v>
      </c>
      <c r="R533" s="119"/>
    </row>
    <row r="534" spans="2:19" ht="31.5" x14ac:dyDescent="0.25">
      <c r="B534" s="143"/>
      <c r="C534" s="146"/>
      <c r="D534" s="146"/>
      <c r="E534" s="146"/>
      <c r="F534" s="146">
        <v>635</v>
      </c>
      <c r="G534" s="143" t="s">
        <v>34</v>
      </c>
      <c r="H534" s="178" t="s">
        <v>314</v>
      </c>
      <c r="I534" s="161">
        <v>0</v>
      </c>
      <c r="J534" s="161">
        <v>0</v>
      </c>
      <c r="K534" s="161">
        <v>0</v>
      </c>
      <c r="L534" s="161">
        <v>720</v>
      </c>
      <c r="M534" s="183">
        <v>0</v>
      </c>
      <c r="N534" s="172">
        <v>0</v>
      </c>
      <c r="O534" s="184">
        <f t="shared" si="71"/>
        <v>0</v>
      </c>
      <c r="P534" s="161">
        <v>0</v>
      </c>
      <c r="Q534" s="161">
        <v>0</v>
      </c>
      <c r="R534" s="119"/>
    </row>
    <row r="535" spans="2:19" ht="15.75" x14ac:dyDescent="0.25">
      <c r="B535" s="143" t="s">
        <v>238</v>
      </c>
      <c r="C535" s="146">
        <v>2</v>
      </c>
      <c r="D535" s="146">
        <v>0</v>
      </c>
      <c r="E535" s="146"/>
      <c r="F535" s="146">
        <v>635</v>
      </c>
      <c r="G535" s="143" t="s">
        <v>35</v>
      </c>
      <c r="H535" s="146" t="s">
        <v>243</v>
      </c>
      <c r="I535" s="161">
        <v>0</v>
      </c>
      <c r="J535" s="161">
        <v>0</v>
      </c>
      <c r="K535" s="161">
        <v>500</v>
      </c>
      <c r="L535" s="161">
        <v>0</v>
      </c>
      <c r="M535" s="183">
        <v>0</v>
      </c>
      <c r="N535" s="172">
        <v>200</v>
      </c>
      <c r="O535" s="184">
        <f t="shared" si="71"/>
        <v>200</v>
      </c>
      <c r="P535" s="161">
        <v>200</v>
      </c>
      <c r="Q535" s="161">
        <v>200</v>
      </c>
      <c r="R535" s="119"/>
    </row>
    <row r="536" spans="2:19" ht="15.75" x14ac:dyDescent="0.25">
      <c r="B536" s="143" t="s">
        <v>238</v>
      </c>
      <c r="C536" s="146">
        <v>2</v>
      </c>
      <c r="D536" s="146">
        <v>0</v>
      </c>
      <c r="E536" s="146"/>
      <c r="F536" s="146">
        <v>637</v>
      </c>
      <c r="G536" s="143" t="s">
        <v>31</v>
      </c>
      <c r="H536" s="146" t="s">
        <v>241</v>
      </c>
      <c r="I536" s="161">
        <v>0</v>
      </c>
      <c r="J536" s="161">
        <v>0</v>
      </c>
      <c r="K536" s="161">
        <v>3700</v>
      </c>
      <c r="L536" s="161">
        <v>0</v>
      </c>
      <c r="M536" s="183">
        <v>0</v>
      </c>
      <c r="N536" s="172">
        <v>3800</v>
      </c>
      <c r="O536" s="184">
        <f t="shared" si="71"/>
        <v>3800</v>
      </c>
      <c r="P536" s="161">
        <v>3810</v>
      </c>
      <c r="Q536" s="161">
        <v>3820</v>
      </c>
      <c r="R536" s="119"/>
    </row>
    <row r="537" spans="2:19" ht="15.75" x14ac:dyDescent="0.25">
      <c r="B537" s="143" t="s">
        <v>238</v>
      </c>
      <c r="C537" s="146">
        <v>2</v>
      </c>
      <c r="D537" s="146">
        <v>0</v>
      </c>
      <c r="E537" s="146"/>
      <c r="F537" s="146">
        <v>637</v>
      </c>
      <c r="G537" s="143" t="s">
        <v>34</v>
      </c>
      <c r="H537" s="146" t="s">
        <v>111</v>
      </c>
      <c r="I537" s="161">
        <v>148.80000000000001</v>
      </c>
      <c r="J537" s="161">
        <v>136.4</v>
      </c>
      <c r="K537" s="161">
        <v>150</v>
      </c>
      <c r="L537" s="161">
        <v>150.38999999999999</v>
      </c>
      <c r="M537" s="183">
        <v>0</v>
      </c>
      <c r="N537" s="172">
        <v>165</v>
      </c>
      <c r="O537" s="184">
        <f t="shared" si="71"/>
        <v>165</v>
      </c>
      <c r="P537" s="161">
        <v>165</v>
      </c>
      <c r="Q537" s="161">
        <v>165</v>
      </c>
      <c r="R537" s="119"/>
    </row>
    <row r="538" spans="2:19" ht="15.75" x14ac:dyDescent="0.25">
      <c r="B538" s="143" t="s">
        <v>238</v>
      </c>
      <c r="C538" s="146">
        <v>2</v>
      </c>
      <c r="D538" s="146">
        <v>0</v>
      </c>
      <c r="E538" s="146"/>
      <c r="F538" s="146">
        <v>637</v>
      </c>
      <c r="G538" s="143" t="s">
        <v>130</v>
      </c>
      <c r="H538" s="146" t="s">
        <v>384</v>
      </c>
      <c r="I538" s="161">
        <v>204.38</v>
      </c>
      <c r="J538" s="161">
        <v>222.96</v>
      </c>
      <c r="K538" s="161">
        <v>200</v>
      </c>
      <c r="L538" s="161">
        <v>167.22</v>
      </c>
      <c r="M538" s="183">
        <v>0</v>
      </c>
      <c r="N538" s="172">
        <v>200</v>
      </c>
      <c r="O538" s="184">
        <f t="shared" si="71"/>
        <v>200</v>
      </c>
      <c r="P538" s="161">
        <v>200</v>
      </c>
      <c r="Q538" s="161">
        <v>200</v>
      </c>
      <c r="R538" s="128"/>
      <c r="S538" s="37"/>
    </row>
    <row r="539" spans="2:19" ht="16.5" thickBot="1" x14ac:dyDescent="0.3">
      <c r="B539" s="144" t="s">
        <v>238</v>
      </c>
      <c r="C539" s="147">
        <v>2</v>
      </c>
      <c r="D539" s="147">
        <v>0</v>
      </c>
      <c r="E539" s="147"/>
      <c r="F539" s="147">
        <v>642</v>
      </c>
      <c r="G539" s="144" t="s">
        <v>135</v>
      </c>
      <c r="H539" s="147" t="s">
        <v>242</v>
      </c>
      <c r="I539" s="162">
        <v>3700</v>
      </c>
      <c r="J539" s="162">
        <v>0</v>
      </c>
      <c r="K539" s="162">
        <v>0</v>
      </c>
      <c r="L539" s="162">
        <v>0</v>
      </c>
      <c r="M539" s="192">
        <v>0</v>
      </c>
      <c r="N539" s="193">
        <v>0</v>
      </c>
      <c r="O539" s="194">
        <f>N539+M539</f>
        <v>0</v>
      </c>
      <c r="P539" s="162">
        <v>0</v>
      </c>
      <c r="Q539" s="162">
        <v>0</v>
      </c>
      <c r="R539" s="119"/>
    </row>
    <row r="540" spans="2:19" ht="18.75" customHeight="1" thickBot="1" x14ac:dyDescent="0.35">
      <c r="B540" s="415" t="s">
        <v>239</v>
      </c>
      <c r="C540" s="416"/>
      <c r="D540" s="416"/>
      <c r="E540" s="416"/>
      <c r="F540" s="416"/>
      <c r="G540" s="416"/>
      <c r="H540" s="416"/>
      <c r="I540" s="171">
        <f t="shared" ref="I540:P540" si="72">SUM(I531:I539)</f>
        <v>5736.73</v>
      </c>
      <c r="J540" s="171">
        <f t="shared" si="72"/>
        <v>4085.1300000000006</v>
      </c>
      <c r="K540" s="171">
        <f t="shared" si="72"/>
        <v>7300</v>
      </c>
      <c r="L540" s="171">
        <f t="shared" si="72"/>
        <v>3417.4999999999995</v>
      </c>
      <c r="M540" s="78">
        <f t="shared" si="72"/>
        <v>0</v>
      </c>
      <c r="N540" s="78">
        <f t="shared" si="72"/>
        <v>8415</v>
      </c>
      <c r="O540" s="78">
        <f>SUM(O531:O539)</f>
        <v>8415</v>
      </c>
      <c r="P540" s="171">
        <f t="shared" si="72"/>
        <v>8425</v>
      </c>
      <c r="Q540" s="171">
        <f>SUM(Q531:Q539)</f>
        <v>8435</v>
      </c>
      <c r="R540" s="119"/>
    </row>
    <row r="541" spans="2:19" ht="19.5" thickBot="1" x14ac:dyDescent="0.35">
      <c r="R541" s="119"/>
    </row>
    <row r="542" spans="2:19" ht="19.5" thickBot="1" x14ac:dyDescent="0.35">
      <c r="B542" s="417" t="s">
        <v>240</v>
      </c>
      <c r="C542" s="418"/>
      <c r="D542" s="418"/>
      <c r="E542" s="418"/>
      <c r="F542" s="418"/>
      <c r="G542" s="418"/>
      <c r="H542" s="418"/>
      <c r="I542" s="77">
        <f t="shared" ref="I542:Q542" si="73">I540+I525</f>
        <v>141879.30000000002</v>
      </c>
      <c r="J542" s="77">
        <f t="shared" si="73"/>
        <v>132326.00999999998</v>
      </c>
      <c r="K542" s="77">
        <f t="shared" si="73"/>
        <v>136941</v>
      </c>
      <c r="L542" s="77">
        <f t="shared" si="73"/>
        <v>105747.99000000003</v>
      </c>
      <c r="M542" s="77">
        <f t="shared" si="73"/>
        <v>52360.000000000007</v>
      </c>
      <c r="N542" s="77">
        <f t="shared" si="73"/>
        <v>75246.087499999994</v>
      </c>
      <c r="O542" s="77">
        <f>O540+O525</f>
        <v>127606.08750000002</v>
      </c>
      <c r="P542" s="77">
        <f t="shared" si="73"/>
        <v>127636</v>
      </c>
      <c r="Q542" s="77">
        <f t="shared" si="73"/>
        <v>127646</v>
      </c>
      <c r="R542" s="119"/>
    </row>
    <row r="543" spans="2:19" ht="19.5" thickBot="1" x14ac:dyDescent="0.35">
      <c r="R543" s="119"/>
    </row>
    <row r="544" spans="2:19" ht="20.25" thickBot="1" x14ac:dyDescent="0.3">
      <c r="B544" s="399" t="s">
        <v>245</v>
      </c>
      <c r="C544" s="400"/>
      <c r="D544" s="400"/>
      <c r="E544" s="400"/>
      <c r="F544" s="400"/>
      <c r="G544" s="400"/>
      <c r="H544" s="400"/>
      <c r="I544" s="400"/>
      <c r="J544" s="400"/>
      <c r="K544" s="400"/>
      <c r="L544" s="400"/>
      <c r="M544" s="400"/>
      <c r="N544" s="400"/>
      <c r="O544" s="400"/>
      <c r="P544" s="400"/>
      <c r="Q544" s="401"/>
      <c r="R544" s="119"/>
    </row>
    <row r="545" spans="2:21" ht="16.5" thickBot="1" x14ac:dyDescent="0.3">
      <c r="B545" s="402" t="s">
        <v>64</v>
      </c>
      <c r="C545" s="402" t="s">
        <v>65</v>
      </c>
      <c r="D545" s="402" t="s">
        <v>66</v>
      </c>
      <c r="E545" s="402" t="s">
        <v>67</v>
      </c>
      <c r="F545" s="402" t="s">
        <v>24</v>
      </c>
      <c r="G545" s="405" t="s">
        <v>25</v>
      </c>
      <c r="H545" s="402" t="s">
        <v>22</v>
      </c>
      <c r="I545" s="397" t="s">
        <v>68</v>
      </c>
      <c r="J545" s="397" t="s">
        <v>303</v>
      </c>
      <c r="K545" s="397" t="s">
        <v>365</v>
      </c>
      <c r="L545" s="397" t="s">
        <v>364</v>
      </c>
      <c r="M545" s="409" t="s">
        <v>18</v>
      </c>
      <c r="N545" s="410"/>
      <c r="O545" s="411"/>
      <c r="P545" s="397" t="s">
        <v>0</v>
      </c>
      <c r="Q545" s="397" t="s">
        <v>294</v>
      </c>
      <c r="R545" s="119"/>
    </row>
    <row r="546" spans="2:21" ht="33" customHeight="1" thickBot="1" x14ac:dyDescent="0.3">
      <c r="B546" s="404"/>
      <c r="C546" s="404"/>
      <c r="D546" s="404"/>
      <c r="E546" s="404"/>
      <c r="F546" s="404"/>
      <c r="G546" s="419"/>
      <c r="H546" s="404"/>
      <c r="I546" s="407"/>
      <c r="J546" s="407"/>
      <c r="K546" s="398"/>
      <c r="L546" s="408"/>
      <c r="M546" s="72" t="s">
        <v>247</v>
      </c>
      <c r="N546" s="72">
        <v>41</v>
      </c>
      <c r="O546" s="73" t="s">
        <v>106</v>
      </c>
      <c r="P546" s="420"/>
      <c r="Q546" s="407"/>
      <c r="R546" s="119"/>
    </row>
    <row r="547" spans="2:21" ht="16.5" thickBot="1" x14ac:dyDescent="0.3">
      <c r="B547" s="55" t="s">
        <v>70</v>
      </c>
      <c r="C547" s="55" t="s">
        <v>71</v>
      </c>
      <c r="D547" s="55" t="s">
        <v>72</v>
      </c>
      <c r="E547" s="55" t="s">
        <v>73</v>
      </c>
      <c r="F547" s="55" t="s">
        <v>74</v>
      </c>
      <c r="G547" s="57" t="s">
        <v>75</v>
      </c>
      <c r="H547" s="55" t="s">
        <v>76</v>
      </c>
      <c r="I547" s="57">
        <v>1</v>
      </c>
      <c r="J547" s="57">
        <v>2</v>
      </c>
      <c r="K547" s="57" t="s">
        <v>152</v>
      </c>
      <c r="L547" s="57" t="s">
        <v>366</v>
      </c>
      <c r="M547" s="75" t="s">
        <v>336</v>
      </c>
      <c r="N547" s="75" t="s">
        <v>337</v>
      </c>
      <c r="O547" s="75" t="s">
        <v>338</v>
      </c>
      <c r="P547" s="57" t="s">
        <v>339</v>
      </c>
      <c r="Q547" s="57" t="s">
        <v>340</v>
      </c>
      <c r="R547" s="119"/>
    </row>
    <row r="548" spans="2:21" ht="16.5" thickBot="1" x14ac:dyDescent="0.3">
      <c r="B548" s="70" t="s">
        <v>238</v>
      </c>
      <c r="C548" s="68">
        <v>7</v>
      </c>
      <c r="D548" s="68">
        <v>0</v>
      </c>
      <c r="E548" s="68"/>
      <c r="F548" s="68">
        <v>633</v>
      </c>
      <c r="G548" s="70" t="s">
        <v>124</v>
      </c>
      <c r="H548" s="68" t="s">
        <v>246</v>
      </c>
      <c r="I548" s="32">
        <v>150</v>
      </c>
      <c r="J548" s="32">
        <v>0</v>
      </c>
      <c r="K548" s="32">
        <v>0</v>
      </c>
      <c r="L548" s="32">
        <v>0</v>
      </c>
      <c r="M548" s="82">
        <v>0</v>
      </c>
      <c r="N548" s="82">
        <v>0</v>
      </c>
      <c r="O548" s="82">
        <f>N548+M548</f>
        <v>0</v>
      </c>
      <c r="P548" s="32">
        <v>0</v>
      </c>
      <c r="Q548" s="32">
        <v>0</v>
      </c>
      <c r="R548" s="119"/>
    </row>
    <row r="549" spans="2:21" ht="18.75" customHeight="1" thickBot="1" x14ac:dyDescent="0.35">
      <c r="B549" s="426" t="s">
        <v>248</v>
      </c>
      <c r="C549" s="427"/>
      <c r="D549" s="427"/>
      <c r="E549" s="427"/>
      <c r="F549" s="427"/>
      <c r="G549" s="427"/>
      <c r="H549" s="428"/>
      <c r="I549" s="40">
        <f>I548</f>
        <v>150</v>
      </c>
      <c r="J549" s="40">
        <f t="shared" ref="J549:Q549" si="74">J548</f>
        <v>0</v>
      </c>
      <c r="K549" s="40">
        <f t="shared" si="74"/>
        <v>0</v>
      </c>
      <c r="L549" s="40">
        <f t="shared" si="74"/>
        <v>0</v>
      </c>
      <c r="M549" s="77">
        <f t="shared" si="74"/>
        <v>0</v>
      </c>
      <c r="N549" s="77">
        <f t="shared" si="74"/>
        <v>0</v>
      </c>
      <c r="O549" s="77">
        <f>O548</f>
        <v>0</v>
      </c>
      <c r="P549" s="40">
        <f t="shared" si="74"/>
        <v>0</v>
      </c>
      <c r="Q549" s="40">
        <f t="shared" si="74"/>
        <v>0</v>
      </c>
      <c r="R549" s="119"/>
    </row>
    <row r="551" spans="2:21" ht="19.5" thickBot="1" x14ac:dyDescent="0.35"/>
    <row r="552" spans="2:21" ht="19.5" thickBot="1" x14ac:dyDescent="0.35">
      <c r="B552" s="412" t="s">
        <v>249</v>
      </c>
      <c r="C552" s="413"/>
      <c r="D552" s="413"/>
      <c r="E552" s="413"/>
      <c r="F552" s="413"/>
      <c r="G552" s="413"/>
      <c r="H552" s="414"/>
      <c r="I552" s="86">
        <f>I65+I86+I109+I127+I135+I148+I172+I181+I194+I206+I239+I247+I268+I288+I295+I311+I321+I359+I383+I412+I442+I462+I480+I506+I525+I540+I549</f>
        <v>896833.12000000011</v>
      </c>
      <c r="J552" s="86">
        <f>J65+J86+J109+J127+J135+J148+J172+J181+J194+J206+J239+J247+J268+J288+J295+J311+J321+J359+J383+J412+J442+J462+J480+J506+J525+J540+J549</f>
        <v>955375.13</v>
      </c>
      <c r="K552" s="86">
        <f>K65+K86+K109+K127+K135+K148+K172+K181+K194+K206+K239+K247+K268+K288+K295+K311+K321+K359+K383+K412+K442+K462+K480+K506+K525+K540+K549</f>
        <v>950134</v>
      </c>
      <c r="L552" s="86">
        <f>L65+L86+L109+L127+L135+L148+L172+L181+L194+L206+L239+L247+L268+L288+L295+L311+L321+L359+L383+L412+L442+L462+L480+L506+L525+L540+L549</f>
        <v>942879.9040000001</v>
      </c>
      <c r="M552" s="86">
        <f>M549+M540+M506+M480+M462+M442+M412+M383+M359+M321+M311+M295+M288+M268+M247+M239+M206+M194+M181+M172+M148+M135+M127+M109+M86+M65</f>
        <v>167917.00350000002</v>
      </c>
      <c r="N552" s="86">
        <f>M525</f>
        <v>52360.000000000007</v>
      </c>
      <c r="O552" s="86">
        <f>N442+O442+N412+O412</f>
        <v>357</v>
      </c>
      <c r="P552" s="86">
        <f>O359</f>
        <v>12920</v>
      </c>
      <c r="Q552" s="281">
        <f>O172</f>
        <v>21100.001999999993</v>
      </c>
      <c r="R552" s="86">
        <f>N549+N540+N525+N506+N480+N462+P442+P412+N383+N359+N321+N311+N295+N268+N288+N247+N239+N206+N194+N181+N172+N148+N135+N127+N109+N86+N65</f>
        <v>865353.98200000008</v>
      </c>
      <c r="S552" s="86">
        <f>O549+O540+O525+O506+O480+O462+Q442+Q412+O383+P359+O321+O311+O295+O288+O268+O247+O239+O206+O194+O181+P172+O148+O135+O127+O109+O86+O65</f>
        <v>1120007.9875</v>
      </c>
      <c r="T552" s="86">
        <f>P549+P540+P525+P506+P480+P462+R442+R412+P383+Q359+P321+P311+P295+P288+P268+P247+P239+P206+P194+P181+Q172+P148+P135+P127+P109+P86+P65</f>
        <v>1117903</v>
      </c>
      <c r="U552" s="86">
        <f>Q549+Q540+Q525+Q506+Q480+Q462+S442+S412+Q383+R359+Q321+Q311+Q295+Q288+Q268+Q247+Q239+Q206+Q194+Q181+R172+Q148+Q135+Q127+Q109+Q86+Q65</f>
        <v>1116023</v>
      </c>
    </row>
    <row r="553" spans="2:21" ht="56.25" customHeight="1" thickBot="1" x14ac:dyDescent="0.35">
      <c r="I553" s="282" t="s">
        <v>68</v>
      </c>
      <c r="J553" s="283" t="s">
        <v>303</v>
      </c>
      <c r="K553" s="310" t="s">
        <v>365</v>
      </c>
      <c r="L553" s="282" t="s">
        <v>364</v>
      </c>
      <c r="M553" s="112" t="s">
        <v>247</v>
      </c>
      <c r="N553" s="112" t="s">
        <v>27</v>
      </c>
      <c r="O553" s="112" t="s">
        <v>342</v>
      </c>
      <c r="P553" s="112" t="s">
        <v>26</v>
      </c>
      <c r="Q553" s="112" t="s">
        <v>346</v>
      </c>
      <c r="R553" s="112" t="s">
        <v>341</v>
      </c>
      <c r="S553" s="112" t="s">
        <v>343</v>
      </c>
      <c r="T553" s="112" t="s">
        <v>344</v>
      </c>
      <c r="U553" s="112" t="s">
        <v>345</v>
      </c>
    </row>
    <row r="554" spans="2:21" x14ac:dyDescent="0.3">
      <c r="I554" s="279"/>
      <c r="J554" s="279"/>
      <c r="K554" s="279"/>
      <c r="L554" s="279"/>
      <c r="M554" s="280"/>
    </row>
  </sheetData>
  <mergeCells count="440">
    <mergeCell ref="N445:O445"/>
    <mergeCell ref="P209:P210"/>
    <mergeCell ref="Q209:Q210"/>
    <mergeCell ref="Q242:Q243"/>
    <mergeCell ref="B268:H268"/>
    <mergeCell ref="B247:H247"/>
    <mergeCell ref="B270:Q270"/>
    <mergeCell ref="B271:B272"/>
    <mergeCell ref="M271:O271"/>
    <mergeCell ref="B288:H288"/>
    <mergeCell ref="B290:Q290"/>
    <mergeCell ref="B291:B292"/>
    <mergeCell ref="C291:C292"/>
    <mergeCell ref="D291:D292"/>
    <mergeCell ref="E291:E292"/>
    <mergeCell ref="F291:F292"/>
    <mergeCell ref="G291:G292"/>
    <mergeCell ref="H291:H292"/>
    <mergeCell ref="I291:I292"/>
    <mergeCell ref="J291:J292"/>
    <mergeCell ref="L291:L292"/>
    <mergeCell ref="M291:O291"/>
    <mergeCell ref="P291:P292"/>
    <mergeCell ref="Q291:Q292"/>
    <mergeCell ref="B206:H206"/>
    <mergeCell ref="P271:P272"/>
    <mergeCell ref="Q271:Q272"/>
    <mergeCell ref="B249:Q249"/>
    <mergeCell ref="B250:B251"/>
    <mergeCell ref="C250:C251"/>
    <mergeCell ref="D250:D251"/>
    <mergeCell ref="E250:E251"/>
    <mergeCell ref="F250:F251"/>
    <mergeCell ref="G250:G251"/>
    <mergeCell ref="H250:H251"/>
    <mergeCell ref="C271:C272"/>
    <mergeCell ref="D271:D272"/>
    <mergeCell ref="E271:E272"/>
    <mergeCell ref="F271:F272"/>
    <mergeCell ref="G271:G272"/>
    <mergeCell ref="H271:H272"/>
    <mergeCell ref="I271:I272"/>
    <mergeCell ref="J271:J272"/>
    <mergeCell ref="L271:L272"/>
    <mergeCell ref="B196:Q196"/>
    <mergeCell ref="B197:B198"/>
    <mergeCell ref="C197:C198"/>
    <mergeCell ref="D197:D198"/>
    <mergeCell ref="E197:E198"/>
    <mergeCell ref="F197:F198"/>
    <mergeCell ref="G197:G198"/>
    <mergeCell ref="H197:H198"/>
    <mergeCell ref="I197:I198"/>
    <mergeCell ref="J197:J198"/>
    <mergeCell ref="L197:L198"/>
    <mergeCell ref="M197:O197"/>
    <mergeCell ref="P197:P198"/>
    <mergeCell ref="Q197:Q198"/>
    <mergeCell ref="J184:J185"/>
    <mergeCell ref="L184:L185"/>
    <mergeCell ref="M184:O184"/>
    <mergeCell ref="P184:P185"/>
    <mergeCell ref="Q184:Q185"/>
    <mergeCell ref="B194:H194"/>
    <mergeCell ref="B181:H181"/>
    <mergeCell ref="B183:Q183"/>
    <mergeCell ref="B184:B185"/>
    <mergeCell ref="C184:C185"/>
    <mergeCell ref="D184:D185"/>
    <mergeCell ref="E184:E185"/>
    <mergeCell ref="F184:F185"/>
    <mergeCell ref="G184:G185"/>
    <mergeCell ref="H184:H185"/>
    <mergeCell ref="I184:I185"/>
    <mergeCell ref="I175:I176"/>
    <mergeCell ref="J175:J176"/>
    <mergeCell ref="L175:L176"/>
    <mergeCell ref="M175:O175"/>
    <mergeCell ref="P175:P176"/>
    <mergeCell ref="Q175:Q176"/>
    <mergeCell ref="R151:R152"/>
    <mergeCell ref="B172:H172"/>
    <mergeCell ref="B174:Q174"/>
    <mergeCell ref="B175:B176"/>
    <mergeCell ref="C175:C176"/>
    <mergeCell ref="D175:D176"/>
    <mergeCell ref="E175:E176"/>
    <mergeCell ref="F175:F176"/>
    <mergeCell ref="G175:G176"/>
    <mergeCell ref="H175:H176"/>
    <mergeCell ref="H151:H152"/>
    <mergeCell ref="I151:I152"/>
    <mergeCell ref="J151:J152"/>
    <mergeCell ref="L151:L152"/>
    <mergeCell ref="Q151:Q152"/>
    <mergeCell ref="B151:B152"/>
    <mergeCell ref="C151:C152"/>
    <mergeCell ref="D151:D152"/>
    <mergeCell ref="E151:E152"/>
    <mergeCell ref="F151:F152"/>
    <mergeCell ref="G151:G152"/>
    <mergeCell ref="L138:L139"/>
    <mergeCell ref="M138:O138"/>
    <mergeCell ref="P138:P139"/>
    <mergeCell ref="Q138:Q139"/>
    <mergeCell ref="B148:H148"/>
    <mergeCell ref="B150:Q150"/>
    <mergeCell ref="M151:P151"/>
    <mergeCell ref="K138:K139"/>
    <mergeCell ref="K151:K152"/>
    <mergeCell ref="B137:Q137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J130:J131"/>
    <mergeCell ref="L130:L131"/>
    <mergeCell ref="M130:O130"/>
    <mergeCell ref="P130:P131"/>
    <mergeCell ref="Q130:Q131"/>
    <mergeCell ref="B135:H135"/>
    <mergeCell ref="B127:H127"/>
    <mergeCell ref="B129:Q129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K130:K131"/>
    <mergeCell ref="I112:I113"/>
    <mergeCell ref="J112:J113"/>
    <mergeCell ref="L112:L113"/>
    <mergeCell ref="M112:O112"/>
    <mergeCell ref="P112:P113"/>
    <mergeCell ref="Q112:Q113"/>
    <mergeCell ref="Q89:Q90"/>
    <mergeCell ref="B109:H109"/>
    <mergeCell ref="B111:Q111"/>
    <mergeCell ref="B112:B113"/>
    <mergeCell ref="C112:C113"/>
    <mergeCell ref="D112:D113"/>
    <mergeCell ref="E112:E113"/>
    <mergeCell ref="F112:F113"/>
    <mergeCell ref="G112:G113"/>
    <mergeCell ref="H112:H113"/>
    <mergeCell ref="H89:H90"/>
    <mergeCell ref="I89:I90"/>
    <mergeCell ref="J89:J90"/>
    <mergeCell ref="L89:L90"/>
    <mergeCell ref="M89:O89"/>
    <mergeCell ref="P89:P90"/>
    <mergeCell ref="K89:K90"/>
    <mergeCell ref="K112:K113"/>
    <mergeCell ref="M68:O68"/>
    <mergeCell ref="P68:P69"/>
    <mergeCell ref="B68:B69"/>
    <mergeCell ref="C68:C69"/>
    <mergeCell ref="D68:D69"/>
    <mergeCell ref="E68:E69"/>
    <mergeCell ref="F68:F69"/>
    <mergeCell ref="G68:G69"/>
    <mergeCell ref="K68:K69"/>
    <mergeCell ref="C89:C90"/>
    <mergeCell ref="D89:D90"/>
    <mergeCell ref="E89:E90"/>
    <mergeCell ref="F89:F90"/>
    <mergeCell ref="G89:G90"/>
    <mergeCell ref="H68:H69"/>
    <mergeCell ref="I68:I69"/>
    <mergeCell ref="J68:J69"/>
    <mergeCell ref="L68:L69"/>
    <mergeCell ref="B65:H65"/>
    <mergeCell ref="B2:Q2"/>
    <mergeCell ref="B4:Q4"/>
    <mergeCell ref="B67:Q67"/>
    <mergeCell ref="H5:H6"/>
    <mergeCell ref="I5:I6"/>
    <mergeCell ref="J5:J6"/>
    <mergeCell ref="L5:L6"/>
    <mergeCell ref="Q5:Q6"/>
    <mergeCell ref="P5:P6"/>
    <mergeCell ref="M5:O5"/>
    <mergeCell ref="B5:B6"/>
    <mergeCell ref="C5:C6"/>
    <mergeCell ref="D5:D6"/>
    <mergeCell ref="E5:E6"/>
    <mergeCell ref="F5:F6"/>
    <mergeCell ref="G5:G6"/>
    <mergeCell ref="K5:K6"/>
    <mergeCell ref="Q68:Q69"/>
    <mergeCell ref="B86:H86"/>
    <mergeCell ref="B88:Q88"/>
    <mergeCell ref="B89:B90"/>
    <mergeCell ref="I250:I251"/>
    <mergeCell ref="J250:J251"/>
    <mergeCell ref="L250:L251"/>
    <mergeCell ref="M250:O250"/>
    <mergeCell ref="P250:P251"/>
    <mergeCell ref="Q250:Q251"/>
    <mergeCell ref="B239:H239"/>
    <mergeCell ref="B241:Q241"/>
    <mergeCell ref="B242:B243"/>
    <mergeCell ref="C242:C243"/>
    <mergeCell ref="D242:D243"/>
    <mergeCell ref="E242:E243"/>
    <mergeCell ref="F242:F243"/>
    <mergeCell ref="G242:G243"/>
    <mergeCell ref="H242:H243"/>
    <mergeCell ref="I242:I243"/>
    <mergeCell ref="J242:J243"/>
    <mergeCell ref="L242:L243"/>
    <mergeCell ref="M242:O242"/>
    <mergeCell ref="P242:P243"/>
    <mergeCell ref="B295:H295"/>
    <mergeCell ref="B297:Q297"/>
    <mergeCell ref="B298:B299"/>
    <mergeCell ref="C298:C299"/>
    <mergeCell ref="D298:D299"/>
    <mergeCell ref="E298:E299"/>
    <mergeCell ref="F298:F299"/>
    <mergeCell ref="G298:G299"/>
    <mergeCell ref="H298:H299"/>
    <mergeCell ref="I298:I299"/>
    <mergeCell ref="J298:J299"/>
    <mergeCell ref="L298:L299"/>
    <mergeCell ref="M298:O298"/>
    <mergeCell ref="P298:P299"/>
    <mergeCell ref="Q298:Q299"/>
    <mergeCell ref="R326:R327"/>
    <mergeCell ref="M326:P326"/>
    <mergeCell ref="B311:H311"/>
    <mergeCell ref="B313:Q313"/>
    <mergeCell ref="B314:B315"/>
    <mergeCell ref="C314:C315"/>
    <mergeCell ref="D314:D315"/>
    <mergeCell ref="E314:E315"/>
    <mergeCell ref="F314:F315"/>
    <mergeCell ref="G314:G315"/>
    <mergeCell ref="H314:H315"/>
    <mergeCell ref="I314:I315"/>
    <mergeCell ref="J314:J315"/>
    <mergeCell ref="L314:L315"/>
    <mergeCell ref="M314:O314"/>
    <mergeCell ref="P314:P315"/>
    <mergeCell ref="Q314:Q315"/>
    <mergeCell ref="B321:H321"/>
    <mergeCell ref="B323:H323"/>
    <mergeCell ref="B325:Q325"/>
    <mergeCell ref="B326:B327"/>
    <mergeCell ref="C326:C327"/>
    <mergeCell ref="D326:D327"/>
    <mergeCell ref="E326:E327"/>
    <mergeCell ref="F326:F327"/>
    <mergeCell ref="G326:G327"/>
    <mergeCell ref="H326:H327"/>
    <mergeCell ref="I326:I327"/>
    <mergeCell ref="J326:J327"/>
    <mergeCell ref="L326:L327"/>
    <mergeCell ref="Q326:Q327"/>
    <mergeCell ref="R386:R387"/>
    <mergeCell ref="S386:S387"/>
    <mergeCell ref="M386:Q386"/>
    <mergeCell ref="B359:H359"/>
    <mergeCell ref="B361:Q361"/>
    <mergeCell ref="B362:B363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L362:L363"/>
    <mergeCell ref="M362:O362"/>
    <mergeCell ref="P362:P363"/>
    <mergeCell ref="Q362:Q363"/>
    <mergeCell ref="B383:H383"/>
    <mergeCell ref="B385:Q385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L386:L387"/>
    <mergeCell ref="K386:K387"/>
    <mergeCell ref="B412:H412"/>
    <mergeCell ref="B414:Q414"/>
    <mergeCell ref="B415:B416"/>
    <mergeCell ref="C415:C416"/>
    <mergeCell ref="D415:D416"/>
    <mergeCell ref="E415:E416"/>
    <mergeCell ref="F415:F416"/>
    <mergeCell ref="G415:G416"/>
    <mergeCell ref="H415:H416"/>
    <mergeCell ref="I415:I416"/>
    <mergeCell ref="J415:J416"/>
    <mergeCell ref="L415:L416"/>
    <mergeCell ref="K415:K416"/>
    <mergeCell ref="P509:P510"/>
    <mergeCell ref="Q509:Q510"/>
    <mergeCell ref="B528:B529"/>
    <mergeCell ref="C528:C529"/>
    <mergeCell ref="D528:D529"/>
    <mergeCell ref="E528:E529"/>
    <mergeCell ref="B442:H442"/>
    <mergeCell ref="B444:H444"/>
    <mergeCell ref="B446:Q446"/>
    <mergeCell ref="B447:B448"/>
    <mergeCell ref="C447:C448"/>
    <mergeCell ref="D447:D448"/>
    <mergeCell ref="E447:E448"/>
    <mergeCell ref="F447:F448"/>
    <mergeCell ref="G447:G448"/>
    <mergeCell ref="H447:H448"/>
    <mergeCell ref="I447:I448"/>
    <mergeCell ref="J447:J448"/>
    <mergeCell ref="L447:L448"/>
    <mergeCell ref="M447:O447"/>
    <mergeCell ref="P447:P448"/>
    <mergeCell ref="Q447:Q448"/>
    <mergeCell ref="K447:K448"/>
    <mergeCell ref="B462:H462"/>
    <mergeCell ref="B464:Q464"/>
    <mergeCell ref="B465:B466"/>
    <mergeCell ref="C465:C466"/>
    <mergeCell ref="D465:D466"/>
    <mergeCell ref="E465:E466"/>
    <mergeCell ref="F465:F466"/>
    <mergeCell ref="G465:G466"/>
    <mergeCell ref="H465:H466"/>
    <mergeCell ref="I465:I466"/>
    <mergeCell ref="J465:J466"/>
    <mergeCell ref="L465:L466"/>
    <mergeCell ref="M465:O465"/>
    <mergeCell ref="P465:P466"/>
    <mergeCell ref="Q465:Q466"/>
    <mergeCell ref="K465:K466"/>
    <mergeCell ref="R314:R315"/>
    <mergeCell ref="B549:H549"/>
    <mergeCell ref="B525:H525"/>
    <mergeCell ref="B527:Q527"/>
    <mergeCell ref="L528:L529"/>
    <mergeCell ref="M528:O528"/>
    <mergeCell ref="P528:P529"/>
    <mergeCell ref="Q528:Q529"/>
    <mergeCell ref="B506:H506"/>
    <mergeCell ref="B508:Q508"/>
    <mergeCell ref="B509:B510"/>
    <mergeCell ref="C509:C510"/>
    <mergeCell ref="D509:D510"/>
    <mergeCell ref="E509:E510"/>
    <mergeCell ref="F509:F510"/>
    <mergeCell ref="G509:G510"/>
    <mergeCell ref="H509:H510"/>
    <mergeCell ref="I509:I510"/>
    <mergeCell ref="J509:J510"/>
    <mergeCell ref="L509:L510"/>
    <mergeCell ref="M509:O509"/>
    <mergeCell ref="F528:F529"/>
    <mergeCell ref="G528:G529"/>
    <mergeCell ref="H528:H529"/>
    <mergeCell ref="R415:R416"/>
    <mergeCell ref="S415:S416"/>
    <mergeCell ref="M415:Q415"/>
    <mergeCell ref="I528:I529"/>
    <mergeCell ref="J528:J529"/>
    <mergeCell ref="B480:H480"/>
    <mergeCell ref="B482:H482"/>
    <mergeCell ref="B484:Q484"/>
    <mergeCell ref="B485:B486"/>
    <mergeCell ref="C485:C486"/>
    <mergeCell ref="D485:D486"/>
    <mergeCell ref="E485:E486"/>
    <mergeCell ref="F485:F486"/>
    <mergeCell ref="G485:G486"/>
    <mergeCell ref="H485:H486"/>
    <mergeCell ref="I485:I486"/>
    <mergeCell ref="J485:J486"/>
    <mergeCell ref="L485:L486"/>
    <mergeCell ref="M485:O485"/>
    <mergeCell ref="P485:P486"/>
    <mergeCell ref="Q485:Q486"/>
    <mergeCell ref="K485:K486"/>
    <mergeCell ref="K509:K510"/>
    <mergeCell ref="K528:K529"/>
    <mergeCell ref="B552:H552"/>
    <mergeCell ref="B540:H540"/>
    <mergeCell ref="B542:H542"/>
    <mergeCell ref="B544:Q544"/>
    <mergeCell ref="B545:B546"/>
    <mergeCell ref="C545:C546"/>
    <mergeCell ref="D545:D546"/>
    <mergeCell ref="E545:E546"/>
    <mergeCell ref="F545:F546"/>
    <mergeCell ref="G545:G546"/>
    <mergeCell ref="H545:H546"/>
    <mergeCell ref="I545:I546"/>
    <mergeCell ref="J545:J546"/>
    <mergeCell ref="L545:L546"/>
    <mergeCell ref="M545:O545"/>
    <mergeCell ref="P545:P546"/>
    <mergeCell ref="Q545:Q546"/>
    <mergeCell ref="K545:K546"/>
    <mergeCell ref="K314:K315"/>
    <mergeCell ref="K326:K327"/>
    <mergeCell ref="K362:K363"/>
    <mergeCell ref="K175:K176"/>
    <mergeCell ref="K184:K185"/>
    <mergeCell ref="K197:K198"/>
    <mergeCell ref="K209:K210"/>
    <mergeCell ref="K242:K243"/>
    <mergeCell ref="K250:K251"/>
    <mergeCell ref="K271:K272"/>
    <mergeCell ref="K291:K292"/>
    <mergeCell ref="K298:K299"/>
    <mergeCell ref="B208:Q208"/>
    <mergeCell ref="B209:B210"/>
    <mergeCell ref="C209:C210"/>
    <mergeCell ref="D209:D210"/>
    <mergeCell ref="E209:E210"/>
    <mergeCell ref="F209:F210"/>
    <mergeCell ref="G209:G210"/>
    <mergeCell ref="H209:H210"/>
    <mergeCell ref="I209:I210"/>
    <mergeCell ref="J209:J210"/>
    <mergeCell ref="L209:L210"/>
    <mergeCell ref="M209:O209"/>
  </mergeCells>
  <pageMargins left="0.7" right="0.7" top="0.75" bottom="0.75" header="0.3" footer="0.3"/>
  <pageSetup paperSize="8" scale="5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N82"/>
  <sheetViews>
    <sheetView topLeftCell="A79" zoomScale="120" zoomScaleNormal="120" workbookViewId="0">
      <selection activeCell="I13" sqref="I13"/>
    </sheetView>
  </sheetViews>
  <sheetFormatPr defaultRowHeight="15" x14ac:dyDescent="0.25"/>
  <cols>
    <col min="2" max="2" width="8.7109375" style="92" customWidth="1"/>
    <col min="3" max="3" width="8.7109375" customWidth="1"/>
    <col min="4" max="4" width="12.7109375" style="91" customWidth="1"/>
    <col min="5" max="5" width="61.85546875" customWidth="1"/>
    <col min="6" max="6" width="14.7109375" customWidth="1"/>
    <col min="7" max="7" width="13.42578125" customWidth="1"/>
    <col min="8" max="8" width="15.140625" customWidth="1"/>
    <col min="9" max="9" width="14.42578125" customWidth="1"/>
    <col min="10" max="10" width="16.42578125" customWidth="1"/>
    <col min="11" max="11" width="15.42578125" customWidth="1"/>
    <col min="12" max="12" width="15.5703125" customWidth="1"/>
  </cols>
  <sheetData>
    <row r="1" spans="1:14" ht="15.75" thickBot="1" x14ac:dyDescent="0.3"/>
    <row r="2" spans="1:14" ht="21" thickBot="1" x14ac:dyDescent="0.35">
      <c r="B2" s="489" t="s">
        <v>251</v>
      </c>
      <c r="C2" s="490"/>
      <c r="D2" s="490"/>
      <c r="E2" s="490"/>
      <c r="F2" s="490"/>
      <c r="G2" s="490"/>
      <c r="H2" s="490"/>
      <c r="I2" s="490"/>
      <c r="J2" s="490"/>
      <c r="K2" s="490"/>
      <c r="L2" s="491"/>
      <c r="M2" s="123"/>
    </row>
    <row r="3" spans="1:14" ht="16.5" thickBot="1" x14ac:dyDescent="0.3">
      <c r="B3" s="94"/>
      <c r="C3" s="95"/>
      <c r="D3" s="96"/>
      <c r="E3" s="95"/>
      <c r="F3" s="95"/>
      <c r="G3" s="95"/>
      <c r="H3" s="95"/>
      <c r="I3" s="95"/>
      <c r="J3" s="95"/>
      <c r="K3" s="95"/>
      <c r="L3" s="95"/>
      <c r="M3" s="95"/>
    </row>
    <row r="4" spans="1:14" ht="19.5" thickBot="1" x14ac:dyDescent="0.3">
      <c r="B4" s="486" t="s">
        <v>6</v>
      </c>
      <c r="C4" s="487"/>
      <c r="D4" s="487"/>
      <c r="E4" s="487"/>
      <c r="F4" s="487"/>
      <c r="G4" s="487"/>
      <c r="H4" s="487"/>
      <c r="I4" s="487"/>
      <c r="J4" s="487"/>
      <c r="K4" s="487"/>
      <c r="L4" s="488"/>
      <c r="M4" s="95"/>
    </row>
    <row r="5" spans="1:14" ht="48.75" customHeight="1" thickBot="1" x14ac:dyDescent="0.3">
      <c r="B5" s="26" t="s">
        <v>23</v>
      </c>
      <c r="C5" s="26" t="s">
        <v>24</v>
      </c>
      <c r="D5" s="112" t="s">
        <v>25</v>
      </c>
      <c r="E5" s="26" t="s">
        <v>22</v>
      </c>
      <c r="F5" s="22" t="s">
        <v>68</v>
      </c>
      <c r="G5" s="22" t="s">
        <v>303</v>
      </c>
      <c r="H5" s="22" t="s">
        <v>368</v>
      </c>
      <c r="I5" s="22" t="s">
        <v>364</v>
      </c>
      <c r="J5" s="124" t="s">
        <v>18</v>
      </c>
      <c r="K5" s="22" t="s">
        <v>0</v>
      </c>
      <c r="L5" s="22" t="s">
        <v>294</v>
      </c>
      <c r="M5" s="95"/>
    </row>
    <row r="6" spans="1:14" ht="16.5" thickBot="1" x14ac:dyDescent="0.3">
      <c r="B6" s="26" t="s">
        <v>70</v>
      </c>
      <c r="C6" s="26" t="s">
        <v>71</v>
      </c>
      <c r="D6" s="112" t="s">
        <v>72</v>
      </c>
      <c r="E6" s="336" t="s">
        <v>73</v>
      </c>
      <c r="F6" s="26">
        <v>1</v>
      </c>
      <c r="G6" s="26">
        <v>2</v>
      </c>
      <c r="H6" s="26">
        <v>3</v>
      </c>
      <c r="I6" s="26">
        <v>4</v>
      </c>
      <c r="J6" s="125">
        <v>5</v>
      </c>
      <c r="K6" s="26">
        <v>6</v>
      </c>
      <c r="L6" s="26">
        <v>7</v>
      </c>
      <c r="M6" s="95"/>
    </row>
    <row r="7" spans="1:14" ht="18.75" customHeight="1" x14ac:dyDescent="0.25">
      <c r="B7" s="148" t="s">
        <v>362</v>
      </c>
      <c r="C7" s="145">
        <v>312</v>
      </c>
      <c r="D7" s="204" t="s">
        <v>30</v>
      </c>
      <c r="E7" s="354" t="s">
        <v>253</v>
      </c>
      <c r="F7" s="255">
        <v>0</v>
      </c>
      <c r="G7" s="255">
        <v>0</v>
      </c>
      <c r="H7" s="255">
        <v>0</v>
      </c>
      <c r="I7" s="160">
        <v>12612.01</v>
      </c>
      <c r="J7" s="330">
        <v>0</v>
      </c>
      <c r="K7" s="255">
        <v>37537</v>
      </c>
      <c r="L7" s="255">
        <v>0</v>
      </c>
      <c r="M7" s="95"/>
    </row>
    <row r="8" spans="1:14" ht="18.75" customHeight="1" x14ac:dyDescent="0.25">
      <c r="B8" s="219" t="s">
        <v>363</v>
      </c>
      <c r="C8" s="226">
        <v>312</v>
      </c>
      <c r="D8" s="218" t="s">
        <v>30</v>
      </c>
      <c r="E8" s="354" t="s">
        <v>387</v>
      </c>
      <c r="F8" s="301">
        <v>0</v>
      </c>
      <c r="G8" s="301">
        <v>0</v>
      </c>
      <c r="H8" s="301">
        <v>0</v>
      </c>
      <c r="I8" s="301">
        <v>0</v>
      </c>
      <c r="J8" s="334">
        <v>198836.15</v>
      </c>
      <c r="K8" s="301">
        <v>0</v>
      </c>
      <c r="L8" s="301">
        <v>0</v>
      </c>
      <c r="M8" s="95"/>
    </row>
    <row r="9" spans="1:14" ht="18.75" customHeight="1" x14ac:dyDescent="0.25">
      <c r="B9" s="219" t="s">
        <v>386</v>
      </c>
      <c r="C9" s="226">
        <v>312</v>
      </c>
      <c r="D9" s="218" t="s">
        <v>30</v>
      </c>
      <c r="E9" s="354" t="s">
        <v>404</v>
      </c>
      <c r="F9" s="301">
        <v>0</v>
      </c>
      <c r="G9" s="301">
        <v>0</v>
      </c>
      <c r="H9" s="301">
        <v>0</v>
      </c>
      <c r="I9" s="301">
        <v>0</v>
      </c>
      <c r="J9" s="334">
        <v>23392.49</v>
      </c>
      <c r="K9" s="301">
        <v>0</v>
      </c>
      <c r="L9" s="301">
        <v>0</v>
      </c>
      <c r="M9" s="95"/>
    </row>
    <row r="10" spans="1:14" ht="18.75" customHeight="1" x14ac:dyDescent="0.25">
      <c r="B10" s="219" t="s">
        <v>252</v>
      </c>
      <c r="C10" s="226">
        <v>312</v>
      </c>
      <c r="D10" s="218" t="s">
        <v>39</v>
      </c>
      <c r="E10" s="354" t="s">
        <v>253</v>
      </c>
      <c r="F10" s="301">
        <v>0</v>
      </c>
      <c r="G10" s="301">
        <v>0</v>
      </c>
      <c r="H10" s="301">
        <v>0</v>
      </c>
      <c r="I10" s="213">
        <v>1483.77</v>
      </c>
      <c r="J10" s="331">
        <v>0</v>
      </c>
      <c r="K10" s="301">
        <v>0</v>
      </c>
      <c r="L10" s="301">
        <v>0</v>
      </c>
      <c r="M10" s="95"/>
    </row>
    <row r="11" spans="1:14" ht="30" customHeight="1" x14ac:dyDescent="0.25">
      <c r="B11" s="149">
        <v>111</v>
      </c>
      <c r="C11" s="146">
        <v>322</v>
      </c>
      <c r="D11" s="256" t="s">
        <v>30</v>
      </c>
      <c r="E11" s="354" t="s">
        <v>254</v>
      </c>
      <c r="F11" s="161">
        <v>0</v>
      </c>
      <c r="G11" s="161">
        <v>0</v>
      </c>
      <c r="H11" s="161">
        <v>0</v>
      </c>
      <c r="I11" s="161">
        <v>0</v>
      </c>
      <c r="J11" s="332">
        <v>0</v>
      </c>
      <c r="K11" s="161">
        <v>0</v>
      </c>
      <c r="L11" s="161">
        <v>0</v>
      </c>
      <c r="M11" s="95"/>
    </row>
    <row r="12" spans="1:14" ht="16.5" thickBot="1" x14ac:dyDescent="0.3">
      <c r="B12" s="102">
        <v>43</v>
      </c>
      <c r="C12" s="28">
        <v>233</v>
      </c>
      <c r="D12" s="103" t="s">
        <v>30</v>
      </c>
      <c r="E12" s="355" t="s">
        <v>255</v>
      </c>
      <c r="F12" s="31">
        <v>0</v>
      </c>
      <c r="G12" s="31">
        <v>636</v>
      </c>
      <c r="H12" s="31">
        <v>1500</v>
      </c>
      <c r="I12" s="31">
        <v>372</v>
      </c>
      <c r="J12" s="333">
        <v>0</v>
      </c>
      <c r="K12" s="31">
        <v>0</v>
      </c>
      <c r="L12" s="31">
        <v>0</v>
      </c>
      <c r="M12" s="95"/>
    </row>
    <row r="13" spans="1:14" ht="16.5" thickBot="1" x14ac:dyDescent="0.3">
      <c r="A13" s="37"/>
      <c r="B13" s="127"/>
      <c r="C13" s="39"/>
      <c r="D13" s="98"/>
      <c r="E13" s="39"/>
      <c r="F13" s="99"/>
      <c r="G13" s="99"/>
      <c r="H13" s="99"/>
      <c r="I13" s="99"/>
      <c r="J13" s="128"/>
      <c r="K13" s="99"/>
      <c r="L13" s="99"/>
      <c r="M13" s="39"/>
      <c r="N13" s="37"/>
    </row>
    <row r="14" spans="1:14" ht="19.5" thickBot="1" x14ac:dyDescent="0.35">
      <c r="B14" s="479" t="s">
        <v>256</v>
      </c>
      <c r="C14" s="480"/>
      <c r="D14" s="480"/>
      <c r="E14" s="480"/>
      <c r="F14" s="85">
        <f t="shared" ref="F14:L14" si="0">SUM(F7:F12)</f>
        <v>0</v>
      </c>
      <c r="G14" s="85">
        <f t="shared" si="0"/>
        <v>636</v>
      </c>
      <c r="H14" s="85">
        <f t="shared" si="0"/>
        <v>1500</v>
      </c>
      <c r="I14" s="85">
        <f t="shared" si="0"/>
        <v>14467.78</v>
      </c>
      <c r="J14" s="129">
        <f t="shared" si="0"/>
        <v>222228.63999999998</v>
      </c>
      <c r="K14" s="85">
        <f t="shared" si="0"/>
        <v>37537</v>
      </c>
      <c r="L14" s="85">
        <f t="shared" si="0"/>
        <v>0</v>
      </c>
      <c r="M14" s="95"/>
    </row>
    <row r="15" spans="1:14" ht="16.5" thickBot="1" x14ac:dyDescent="0.3">
      <c r="B15" s="94"/>
      <c r="C15" s="95"/>
      <c r="D15" s="96"/>
      <c r="E15" s="95"/>
      <c r="F15" s="95"/>
      <c r="G15" s="95"/>
      <c r="H15" s="95"/>
      <c r="I15" s="95"/>
      <c r="J15" s="95"/>
      <c r="K15" s="95"/>
      <c r="L15" s="95"/>
      <c r="M15" s="95"/>
    </row>
    <row r="16" spans="1:14" ht="19.5" thickBot="1" x14ac:dyDescent="0.3">
      <c r="B16" s="481" t="s">
        <v>7</v>
      </c>
      <c r="C16" s="482"/>
      <c r="D16" s="482"/>
      <c r="E16" s="482"/>
      <c r="F16" s="482"/>
      <c r="G16" s="482"/>
      <c r="H16" s="482"/>
      <c r="I16" s="482"/>
      <c r="J16" s="482"/>
      <c r="K16" s="482"/>
      <c r="L16" s="483"/>
      <c r="M16" s="95"/>
    </row>
    <row r="17" spans="2:13" ht="16.5" thickBot="1" x14ac:dyDescent="0.3">
      <c r="B17" s="94"/>
      <c r="C17" s="95"/>
      <c r="D17" s="96"/>
      <c r="E17" s="95"/>
      <c r="F17" s="95"/>
      <c r="G17" s="95"/>
      <c r="H17" s="95"/>
      <c r="I17" s="95"/>
      <c r="J17" s="95"/>
      <c r="K17" s="95"/>
      <c r="L17" s="95"/>
      <c r="M17" s="95"/>
    </row>
    <row r="18" spans="2:13" ht="20.25" thickBot="1" x14ac:dyDescent="0.4">
      <c r="B18" s="484" t="s">
        <v>257</v>
      </c>
      <c r="C18" s="477"/>
      <c r="D18" s="477"/>
      <c r="E18" s="477"/>
      <c r="F18" s="477"/>
      <c r="G18" s="477"/>
      <c r="H18" s="477"/>
      <c r="I18" s="477"/>
      <c r="J18" s="477"/>
      <c r="K18" s="477"/>
      <c r="L18" s="485"/>
      <c r="M18" s="95"/>
    </row>
    <row r="19" spans="2:13" ht="49.5" customHeight="1" thickBot="1" x14ac:dyDescent="0.3">
      <c r="B19" s="26" t="s">
        <v>23</v>
      </c>
      <c r="C19" s="26" t="s">
        <v>24</v>
      </c>
      <c r="D19" s="112" t="s">
        <v>25</v>
      </c>
      <c r="E19" s="26" t="s">
        <v>22</v>
      </c>
      <c r="F19" s="22" t="s">
        <v>68</v>
      </c>
      <c r="G19" s="22" t="s">
        <v>303</v>
      </c>
      <c r="H19" s="22" t="s">
        <v>368</v>
      </c>
      <c r="I19" s="22" t="s">
        <v>364</v>
      </c>
      <c r="J19" s="113" t="s">
        <v>18</v>
      </c>
      <c r="K19" s="22" t="s">
        <v>0</v>
      </c>
      <c r="L19" s="22" t="s">
        <v>294</v>
      </c>
      <c r="M19" s="95"/>
    </row>
    <row r="20" spans="2:13" ht="16.5" thickBot="1" x14ac:dyDescent="0.3">
      <c r="B20" s="26" t="s">
        <v>70</v>
      </c>
      <c r="C20" s="26" t="s">
        <v>71</v>
      </c>
      <c r="D20" s="112" t="s">
        <v>72</v>
      </c>
      <c r="E20" s="26" t="s">
        <v>73</v>
      </c>
      <c r="F20" s="26">
        <v>1</v>
      </c>
      <c r="G20" s="26">
        <v>2</v>
      </c>
      <c r="H20" s="26">
        <v>3</v>
      </c>
      <c r="I20" s="26">
        <v>4</v>
      </c>
      <c r="J20" s="319">
        <v>5</v>
      </c>
      <c r="K20" s="26">
        <v>6</v>
      </c>
      <c r="L20" s="26">
        <v>7</v>
      </c>
      <c r="M20" s="95"/>
    </row>
    <row r="21" spans="2:13" ht="32.25" thickBot="1" x14ac:dyDescent="0.3">
      <c r="B21" s="105">
        <v>41</v>
      </c>
      <c r="C21" s="68">
        <v>713</v>
      </c>
      <c r="D21" s="104" t="s">
        <v>35</v>
      </c>
      <c r="E21" s="71" t="s">
        <v>316</v>
      </c>
      <c r="F21" s="32">
        <v>0</v>
      </c>
      <c r="G21" s="32">
        <v>14937.66</v>
      </c>
      <c r="H21" s="33">
        <v>0</v>
      </c>
      <c r="I21" s="33">
        <v>0</v>
      </c>
      <c r="J21" s="109">
        <v>0</v>
      </c>
      <c r="K21" s="110">
        <v>0</v>
      </c>
      <c r="L21" s="32">
        <v>0</v>
      </c>
      <c r="M21" s="95"/>
    </row>
    <row r="22" spans="2:13" ht="16.5" thickBot="1" x14ac:dyDescent="0.3">
      <c r="B22" s="472" t="s">
        <v>260</v>
      </c>
      <c r="C22" s="473"/>
      <c r="D22" s="473"/>
      <c r="E22" s="474"/>
      <c r="F22" s="40">
        <f>SUM(F21)</f>
        <v>0</v>
      </c>
      <c r="G22" s="40">
        <f t="shared" ref="G22:L22" si="1">SUM(G21)</f>
        <v>14937.66</v>
      </c>
      <c r="H22" s="40">
        <f t="shared" si="1"/>
        <v>0</v>
      </c>
      <c r="I22" s="40">
        <f t="shared" si="1"/>
        <v>0</v>
      </c>
      <c r="J22" s="108">
        <f t="shared" si="1"/>
        <v>0</v>
      </c>
      <c r="K22" s="40">
        <f t="shared" si="1"/>
        <v>0</v>
      </c>
      <c r="L22" s="40">
        <f t="shared" si="1"/>
        <v>0</v>
      </c>
      <c r="M22" s="95"/>
    </row>
    <row r="23" spans="2:13" ht="16.5" thickBot="1" x14ac:dyDescent="0.3">
      <c r="B23" s="94"/>
      <c r="C23" s="95"/>
      <c r="D23" s="96"/>
      <c r="E23" s="95"/>
      <c r="F23" s="95"/>
      <c r="G23" s="95"/>
      <c r="H23" s="95"/>
      <c r="I23" s="95"/>
      <c r="J23" s="95"/>
      <c r="K23" s="95"/>
      <c r="L23" s="95"/>
      <c r="M23" s="95"/>
    </row>
    <row r="24" spans="2:13" ht="20.25" thickBot="1" x14ac:dyDescent="0.4">
      <c r="B24" s="475" t="s">
        <v>168</v>
      </c>
      <c r="C24" s="476"/>
      <c r="D24" s="476"/>
      <c r="E24" s="476"/>
      <c r="F24" s="476"/>
      <c r="G24" s="476"/>
      <c r="H24" s="476"/>
      <c r="I24" s="476"/>
      <c r="J24" s="477"/>
      <c r="K24" s="476"/>
      <c r="L24" s="478"/>
      <c r="M24" s="95"/>
    </row>
    <row r="25" spans="2:13" ht="48" thickBot="1" x14ac:dyDescent="0.3">
      <c r="B25" s="26" t="s">
        <v>23</v>
      </c>
      <c r="C25" s="26" t="s">
        <v>24</v>
      </c>
      <c r="D25" s="112" t="s">
        <v>25</v>
      </c>
      <c r="E25" s="26" t="s">
        <v>22</v>
      </c>
      <c r="F25" s="22" t="s">
        <v>68</v>
      </c>
      <c r="G25" s="22" t="s">
        <v>303</v>
      </c>
      <c r="H25" s="22" t="s">
        <v>368</v>
      </c>
      <c r="I25" s="22" t="s">
        <v>364</v>
      </c>
      <c r="J25" s="113" t="s">
        <v>18</v>
      </c>
      <c r="K25" s="22" t="s">
        <v>0</v>
      </c>
      <c r="L25" s="22" t="s">
        <v>294</v>
      </c>
      <c r="M25" s="95"/>
    </row>
    <row r="26" spans="2:13" ht="16.5" thickBot="1" x14ac:dyDescent="0.3">
      <c r="B26" s="26" t="s">
        <v>70</v>
      </c>
      <c r="C26" s="26" t="s">
        <v>71</v>
      </c>
      <c r="D26" s="112" t="s">
        <v>72</v>
      </c>
      <c r="E26" s="26" t="s">
        <v>73</v>
      </c>
      <c r="F26" s="26">
        <v>1</v>
      </c>
      <c r="G26" s="26">
        <v>2</v>
      </c>
      <c r="H26" s="26">
        <v>3</v>
      </c>
      <c r="I26" s="26">
        <v>4</v>
      </c>
      <c r="J26" s="319">
        <v>5</v>
      </c>
      <c r="K26" s="26">
        <v>6</v>
      </c>
      <c r="L26" s="26">
        <v>7</v>
      </c>
      <c r="M26" s="95"/>
    </row>
    <row r="27" spans="2:13" ht="15.75" x14ac:dyDescent="0.25">
      <c r="B27" s="148">
        <v>41</v>
      </c>
      <c r="C27" s="145">
        <v>717</v>
      </c>
      <c r="D27" s="204" t="s">
        <v>30</v>
      </c>
      <c r="E27" s="145" t="s">
        <v>258</v>
      </c>
      <c r="F27" s="160">
        <v>22357.759999999998</v>
      </c>
      <c r="G27" s="160">
        <v>0</v>
      </c>
      <c r="H27" s="160">
        <v>0</v>
      </c>
      <c r="I27" s="160">
        <v>0</v>
      </c>
      <c r="J27" s="260">
        <v>0</v>
      </c>
      <c r="K27" s="160">
        <v>0</v>
      </c>
      <c r="L27" s="160">
        <v>0</v>
      </c>
      <c r="M27" s="95"/>
    </row>
    <row r="28" spans="2:13" ht="15.75" x14ac:dyDescent="0.25">
      <c r="B28" s="219">
        <v>41</v>
      </c>
      <c r="C28" s="226">
        <v>717</v>
      </c>
      <c r="D28" s="218" t="s">
        <v>31</v>
      </c>
      <c r="E28" s="226" t="s">
        <v>317</v>
      </c>
      <c r="F28" s="213">
        <v>40791.339999999997</v>
      </c>
      <c r="G28" s="213">
        <v>0</v>
      </c>
      <c r="H28" s="213">
        <v>50000</v>
      </c>
      <c r="I28" s="213">
        <v>0</v>
      </c>
      <c r="J28" s="261">
        <v>0</v>
      </c>
      <c r="K28" s="213">
        <v>0</v>
      </c>
      <c r="L28" s="213">
        <v>0</v>
      </c>
      <c r="M28" s="95"/>
    </row>
    <row r="29" spans="2:13" ht="16.5" thickBot="1" x14ac:dyDescent="0.3">
      <c r="B29" s="102">
        <v>41</v>
      </c>
      <c r="C29" s="28">
        <v>716</v>
      </c>
      <c r="D29" s="103"/>
      <c r="E29" s="28" t="s">
        <v>259</v>
      </c>
      <c r="F29" s="30">
        <v>1650</v>
      </c>
      <c r="G29" s="30">
        <v>0</v>
      </c>
      <c r="H29" s="30">
        <v>3000</v>
      </c>
      <c r="I29" s="30">
        <v>0</v>
      </c>
      <c r="J29" s="106">
        <v>0</v>
      </c>
      <c r="K29" s="30">
        <v>0</v>
      </c>
      <c r="L29" s="30">
        <v>0</v>
      </c>
      <c r="M29" s="95"/>
    </row>
    <row r="30" spans="2:13" ht="16.5" thickBot="1" x14ac:dyDescent="0.3">
      <c r="B30" s="459" t="s">
        <v>261</v>
      </c>
      <c r="C30" s="460"/>
      <c r="D30" s="460"/>
      <c r="E30" s="460"/>
      <c r="F30" s="40">
        <f>SUM(F27:F29)</f>
        <v>64799.099999999991</v>
      </c>
      <c r="G30" s="40">
        <f t="shared" ref="G30:L30" si="2">SUM(G27:G29)</f>
        <v>0</v>
      </c>
      <c r="H30" s="40">
        <f t="shared" si="2"/>
        <v>53000</v>
      </c>
      <c r="I30" s="40">
        <f t="shared" si="2"/>
        <v>0</v>
      </c>
      <c r="J30" s="108">
        <f t="shared" si="2"/>
        <v>0</v>
      </c>
      <c r="K30" s="40">
        <f t="shared" si="2"/>
        <v>0</v>
      </c>
      <c r="L30" s="40">
        <f t="shared" si="2"/>
        <v>0</v>
      </c>
      <c r="M30" s="95"/>
    </row>
    <row r="31" spans="2:13" ht="16.5" thickBot="1" x14ac:dyDescent="0.3">
      <c r="B31" s="94"/>
      <c r="C31" s="95"/>
      <c r="D31" s="96"/>
      <c r="E31" s="95"/>
      <c r="F31" s="95"/>
      <c r="G31" s="95"/>
      <c r="H31" s="95"/>
      <c r="I31" s="95"/>
      <c r="J31" s="95"/>
      <c r="K31" s="95"/>
      <c r="L31" s="95"/>
      <c r="M31" s="95"/>
    </row>
    <row r="32" spans="2:13" ht="20.25" thickBot="1" x14ac:dyDescent="0.4">
      <c r="B32" s="475" t="s">
        <v>171</v>
      </c>
      <c r="C32" s="476"/>
      <c r="D32" s="476"/>
      <c r="E32" s="476"/>
      <c r="F32" s="476"/>
      <c r="G32" s="476"/>
      <c r="H32" s="476"/>
      <c r="I32" s="476"/>
      <c r="J32" s="476"/>
      <c r="K32" s="476"/>
      <c r="L32" s="478"/>
      <c r="M32" s="95"/>
    </row>
    <row r="33" spans="2:13" ht="48" thickBot="1" x14ac:dyDescent="0.3">
      <c r="B33" s="26" t="s">
        <v>23</v>
      </c>
      <c r="C33" s="26" t="s">
        <v>24</v>
      </c>
      <c r="D33" s="112" t="s">
        <v>25</v>
      </c>
      <c r="E33" s="26" t="s">
        <v>22</v>
      </c>
      <c r="F33" s="22" t="s">
        <v>68</v>
      </c>
      <c r="G33" s="22" t="s">
        <v>303</v>
      </c>
      <c r="H33" s="22" t="s">
        <v>368</v>
      </c>
      <c r="I33" s="22" t="s">
        <v>364</v>
      </c>
      <c r="J33" s="113" t="s">
        <v>18</v>
      </c>
      <c r="K33" s="22" t="s">
        <v>0</v>
      </c>
      <c r="L33" s="22" t="s">
        <v>294</v>
      </c>
      <c r="M33" s="95"/>
    </row>
    <row r="34" spans="2:13" ht="16.5" thickBot="1" x14ac:dyDescent="0.3">
      <c r="B34" s="88" t="s">
        <v>70</v>
      </c>
      <c r="C34" s="26" t="s">
        <v>71</v>
      </c>
      <c r="D34" s="89" t="s">
        <v>72</v>
      </c>
      <c r="E34" s="88" t="s">
        <v>73</v>
      </c>
      <c r="F34" s="26">
        <v>1</v>
      </c>
      <c r="G34" s="26">
        <v>2</v>
      </c>
      <c r="H34" s="26">
        <v>3</v>
      </c>
      <c r="I34" s="26">
        <v>4</v>
      </c>
      <c r="J34" s="319">
        <v>5</v>
      </c>
      <c r="K34" s="26">
        <v>6</v>
      </c>
      <c r="L34" s="26">
        <v>7</v>
      </c>
      <c r="M34" s="95"/>
    </row>
    <row r="35" spans="2:13" ht="15.75" x14ac:dyDescent="0.25">
      <c r="B35" s="257">
        <v>41</v>
      </c>
      <c r="C35" s="145">
        <v>714</v>
      </c>
      <c r="D35" s="258" t="s">
        <v>34</v>
      </c>
      <c r="E35" s="197" t="s">
        <v>262</v>
      </c>
      <c r="F35" s="255">
        <v>0</v>
      </c>
      <c r="G35" s="255">
        <v>0</v>
      </c>
      <c r="H35" s="255">
        <v>0</v>
      </c>
      <c r="I35" s="255">
        <v>0</v>
      </c>
      <c r="J35" s="259">
        <v>0</v>
      </c>
      <c r="K35" s="255">
        <v>0</v>
      </c>
      <c r="L35" s="255">
        <v>0</v>
      </c>
      <c r="M35" s="95"/>
    </row>
    <row r="36" spans="2:13" ht="16.5" thickBot="1" x14ac:dyDescent="0.3">
      <c r="B36" s="24">
        <v>41</v>
      </c>
      <c r="C36" s="28">
        <v>717</v>
      </c>
      <c r="D36" s="118" t="s">
        <v>30</v>
      </c>
      <c r="E36" s="27" t="s">
        <v>263</v>
      </c>
      <c r="F36" s="117">
        <v>0</v>
      </c>
      <c r="G36" s="117">
        <v>0</v>
      </c>
      <c r="H36" s="31">
        <v>7895</v>
      </c>
      <c r="I36" s="117">
        <v>0</v>
      </c>
      <c r="J36" s="111">
        <v>0</v>
      </c>
      <c r="K36" s="117">
        <v>0</v>
      </c>
      <c r="L36" s="117">
        <v>0</v>
      </c>
      <c r="M36" s="95"/>
    </row>
    <row r="37" spans="2:13" ht="16.5" thickBot="1" x14ac:dyDescent="0.3">
      <c r="B37" s="472" t="s">
        <v>264</v>
      </c>
      <c r="C37" s="473"/>
      <c r="D37" s="473"/>
      <c r="E37" s="474"/>
      <c r="F37" s="116">
        <f t="shared" ref="F37:L37" si="3">SUM(F35:F36)</f>
        <v>0</v>
      </c>
      <c r="G37" s="116">
        <f t="shared" si="3"/>
        <v>0</v>
      </c>
      <c r="H37" s="116">
        <f t="shared" si="3"/>
        <v>7895</v>
      </c>
      <c r="I37" s="116">
        <f t="shared" si="3"/>
        <v>0</v>
      </c>
      <c r="J37" s="115">
        <f t="shared" si="3"/>
        <v>0</v>
      </c>
      <c r="K37" s="116">
        <f t="shared" si="3"/>
        <v>0</v>
      </c>
      <c r="L37" s="116">
        <f t="shared" si="3"/>
        <v>0</v>
      </c>
      <c r="M37" s="95"/>
    </row>
    <row r="38" spans="2:13" ht="16.5" thickBot="1" x14ac:dyDescent="0.3">
      <c r="B38" s="94"/>
      <c r="C38" s="95"/>
      <c r="D38" s="96"/>
      <c r="E38" s="95"/>
      <c r="F38" s="95"/>
      <c r="G38" s="95"/>
      <c r="H38" s="95"/>
      <c r="I38" s="95"/>
      <c r="J38" s="95"/>
      <c r="K38" s="95"/>
      <c r="L38" s="95"/>
      <c r="M38" s="95"/>
    </row>
    <row r="39" spans="2:13" ht="20.25" thickBot="1" x14ac:dyDescent="0.4">
      <c r="B39" s="475" t="s">
        <v>265</v>
      </c>
      <c r="C39" s="476"/>
      <c r="D39" s="476"/>
      <c r="E39" s="476"/>
      <c r="F39" s="476"/>
      <c r="G39" s="476"/>
      <c r="H39" s="476"/>
      <c r="I39" s="476"/>
      <c r="J39" s="477"/>
      <c r="K39" s="476"/>
      <c r="L39" s="478"/>
      <c r="M39" s="95"/>
    </row>
    <row r="40" spans="2:13" ht="48" thickBot="1" x14ac:dyDescent="0.3">
      <c r="B40" s="26" t="s">
        <v>23</v>
      </c>
      <c r="C40" s="26" t="s">
        <v>24</v>
      </c>
      <c r="D40" s="112" t="s">
        <v>25</v>
      </c>
      <c r="E40" s="26" t="s">
        <v>22</v>
      </c>
      <c r="F40" s="22" t="s">
        <v>68</v>
      </c>
      <c r="G40" s="22" t="s">
        <v>303</v>
      </c>
      <c r="H40" s="22" t="s">
        <v>368</v>
      </c>
      <c r="I40" s="22" t="s">
        <v>364</v>
      </c>
      <c r="J40" s="113" t="s">
        <v>18</v>
      </c>
      <c r="K40" s="22" t="s">
        <v>0</v>
      </c>
      <c r="L40" s="22" t="s">
        <v>294</v>
      </c>
      <c r="M40" s="95"/>
    </row>
    <row r="41" spans="2:13" ht="16.5" thickBot="1" x14ac:dyDescent="0.3">
      <c r="B41" s="26" t="s">
        <v>70</v>
      </c>
      <c r="C41" s="26" t="s">
        <v>71</v>
      </c>
      <c r="D41" s="112" t="s">
        <v>72</v>
      </c>
      <c r="E41" s="26" t="s">
        <v>73</v>
      </c>
      <c r="F41" s="26">
        <v>1</v>
      </c>
      <c r="G41" s="26">
        <v>2</v>
      </c>
      <c r="H41" s="26">
        <v>3</v>
      </c>
      <c r="I41" s="26">
        <v>4</v>
      </c>
      <c r="J41" s="319">
        <v>5</v>
      </c>
      <c r="K41" s="26">
        <v>6</v>
      </c>
      <c r="L41" s="26">
        <v>7</v>
      </c>
      <c r="M41" s="95"/>
    </row>
    <row r="42" spans="2:13" ht="15.75" x14ac:dyDescent="0.25">
      <c r="B42" s="148">
        <v>41</v>
      </c>
      <c r="C42" s="145">
        <v>711</v>
      </c>
      <c r="D42" s="204" t="s">
        <v>30</v>
      </c>
      <c r="E42" s="145" t="s">
        <v>266</v>
      </c>
      <c r="F42" s="160">
        <v>0</v>
      </c>
      <c r="G42" s="160">
        <v>732</v>
      </c>
      <c r="H42" s="160">
        <v>20000</v>
      </c>
      <c r="I42" s="160">
        <v>15992</v>
      </c>
      <c r="J42" s="260">
        <v>0</v>
      </c>
      <c r="K42" s="160">
        <v>0</v>
      </c>
      <c r="L42" s="160">
        <v>0</v>
      </c>
      <c r="M42" s="95"/>
    </row>
    <row r="43" spans="2:13" ht="15.75" x14ac:dyDescent="0.25">
      <c r="B43" s="219">
        <v>41</v>
      </c>
      <c r="C43" s="226">
        <v>713</v>
      </c>
      <c r="D43" s="218" t="s">
        <v>34</v>
      </c>
      <c r="E43" s="226" t="s">
        <v>385</v>
      </c>
      <c r="F43" s="213">
        <v>0</v>
      </c>
      <c r="G43" s="213">
        <v>0</v>
      </c>
      <c r="H43" s="213">
        <v>0</v>
      </c>
      <c r="I43" s="213">
        <v>4008</v>
      </c>
      <c r="J43" s="261">
        <v>0</v>
      </c>
      <c r="K43" s="213">
        <v>0</v>
      </c>
      <c r="L43" s="213">
        <v>0</v>
      </c>
      <c r="M43" s="95"/>
    </row>
    <row r="44" spans="2:13" ht="15.75" x14ac:dyDescent="0.25">
      <c r="B44" s="219">
        <v>41</v>
      </c>
      <c r="C44" s="226">
        <v>716</v>
      </c>
      <c r="D44" s="218"/>
      <c r="E44" s="226" t="s">
        <v>267</v>
      </c>
      <c r="F44" s="213">
        <v>4980</v>
      </c>
      <c r="G44" s="213">
        <v>0</v>
      </c>
      <c r="H44" s="213">
        <v>0</v>
      </c>
      <c r="I44" s="213">
        <v>0</v>
      </c>
      <c r="J44" s="261">
        <v>0</v>
      </c>
      <c r="K44" s="213">
        <v>0</v>
      </c>
      <c r="L44" s="213">
        <v>0</v>
      </c>
      <c r="M44" s="95"/>
    </row>
    <row r="45" spans="2:13" ht="15.75" x14ac:dyDescent="0.25">
      <c r="B45" s="219">
        <v>41</v>
      </c>
      <c r="C45" s="226">
        <v>717</v>
      </c>
      <c r="D45" s="218" t="s">
        <v>30</v>
      </c>
      <c r="E45" s="226" t="s">
        <v>268</v>
      </c>
      <c r="F45" s="213">
        <v>0</v>
      </c>
      <c r="G45" s="213">
        <v>0</v>
      </c>
      <c r="H45" s="213">
        <v>0</v>
      </c>
      <c r="I45" s="213">
        <v>0</v>
      </c>
      <c r="J45" s="261">
        <v>0</v>
      </c>
      <c r="K45" s="213">
        <v>0</v>
      </c>
      <c r="L45" s="213">
        <v>0</v>
      </c>
      <c r="M45" s="95"/>
    </row>
    <row r="46" spans="2:13" ht="16.5" thickBot="1" x14ac:dyDescent="0.3">
      <c r="B46" s="102">
        <v>41</v>
      </c>
      <c r="C46" s="28">
        <v>717</v>
      </c>
      <c r="D46" s="103" t="s">
        <v>31</v>
      </c>
      <c r="E46" s="28" t="s">
        <v>269</v>
      </c>
      <c r="F46" s="31">
        <v>17211</v>
      </c>
      <c r="G46" s="31">
        <v>0</v>
      </c>
      <c r="H46" s="31">
        <v>0</v>
      </c>
      <c r="I46" s="31">
        <v>0</v>
      </c>
      <c r="J46" s="107">
        <v>0</v>
      </c>
      <c r="K46" s="31">
        <v>0</v>
      </c>
      <c r="L46" s="31">
        <v>0</v>
      </c>
      <c r="M46" s="95"/>
    </row>
    <row r="47" spans="2:13" ht="16.5" thickBot="1" x14ac:dyDescent="0.3">
      <c r="B47" s="459" t="s">
        <v>270</v>
      </c>
      <c r="C47" s="460"/>
      <c r="D47" s="460"/>
      <c r="E47" s="466"/>
      <c r="F47" s="100">
        <f>SUM(F42:F46)</f>
        <v>22191</v>
      </c>
      <c r="G47" s="100">
        <f t="shared" ref="G47:L47" si="4">SUM(G42:G46)</f>
        <v>732</v>
      </c>
      <c r="H47" s="100">
        <f>SUM(H42:H46)</f>
        <v>20000</v>
      </c>
      <c r="I47" s="40">
        <f t="shared" si="4"/>
        <v>20000</v>
      </c>
      <c r="J47" s="114">
        <f t="shared" si="4"/>
        <v>0</v>
      </c>
      <c r="K47" s="100">
        <f t="shared" si="4"/>
        <v>0</v>
      </c>
      <c r="L47" s="101">
        <f t="shared" si="4"/>
        <v>0</v>
      </c>
      <c r="M47" s="95"/>
    </row>
    <row r="48" spans="2:13" ht="16.5" thickBot="1" x14ac:dyDescent="0.3">
      <c r="B48" s="94"/>
      <c r="C48" s="95"/>
      <c r="D48" s="96"/>
      <c r="E48" s="95"/>
      <c r="F48" s="95"/>
      <c r="G48" s="95"/>
      <c r="H48" s="95"/>
      <c r="I48" s="95"/>
      <c r="J48" s="95"/>
      <c r="K48" s="95"/>
      <c r="L48" s="95"/>
      <c r="M48" s="95"/>
    </row>
    <row r="49" spans="2:13" ht="20.25" thickBot="1" x14ac:dyDescent="0.4">
      <c r="B49" s="475" t="s">
        <v>192</v>
      </c>
      <c r="C49" s="476"/>
      <c r="D49" s="476"/>
      <c r="E49" s="476"/>
      <c r="F49" s="476"/>
      <c r="G49" s="476"/>
      <c r="H49" s="476"/>
      <c r="I49" s="476"/>
      <c r="J49" s="477"/>
      <c r="K49" s="476"/>
      <c r="L49" s="478"/>
      <c r="M49" s="95"/>
    </row>
    <row r="50" spans="2:13" ht="48" thickBot="1" x14ac:dyDescent="0.3">
      <c r="B50" s="26" t="s">
        <v>23</v>
      </c>
      <c r="C50" s="26" t="s">
        <v>24</v>
      </c>
      <c r="D50" s="112" t="s">
        <v>25</v>
      </c>
      <c r="E50" s="26" t="s">
        <v>22</v>
      </c>
      <c r="F50" s="22" t="s">
        <v>68</v>
      </c>
      <c r="G50" s="22" t="s">
        <v>303</v>
      </c>
      <c r="H50" s="22" t="s">
        <v>368</v>
      </c>
      <c r="I50" s="22" t="s">
        <v>364</v>
      </c>
      <c r="J50" s="113" t="s">
        <v>18</v>
      </c>
      <c r="K50" s="22" t="s">
        <v>0</v>
      </c>
      <c r="L50" s="22" t="s">
        <v>294</v>
      </c>
      <c r="M50" s="95"/>
    </row>
    <row r="51" spans="2:13" ht="16.5" thickBot="1" x14ac:dyDescent="0.3">
      <c r="B51" s="88" t="s">
        <v>70</v>
      </c>
      <c r="C51" s="88" t="s">
        <v>71</v>
      </c>
      <c r="D51" s="89" t="s">
        <v>72</v>
      </c>
      <c r="E51" s="88" t="s">
        <v>73</v>
      </c>
      <c r="F51" s="26">
        <v>1</v>
      </c>
      <c r="G51" s="26">
        <v>2</v>
      </c>
      <c r="H51" s="26">
        <v>3</v>
      </c>
      <c r="I51" s="26">
        <v>4</v>
      </c>
      <c r="J51" s="319">
        <v>5</v>
      </c>
      <c r="K51" s="26">
        <v>6</v>
      </c>
      <c r="L51" s="26">
        <v>7</v>
      </c>
      <c r="M51" s="95"/>
    </row>
    <row r="52" spans="2:13" ht="15.75" x14ac:dyDescent="0.25">
      <c r="B52" s="148">
        <v>111</v>
      </c>
      <c r="C52" s="145">
        <v>717</v>
      </c>
      <c r="D52" s="204" t="s">
        <v>31</v>
      </c>
      <c r="E52" s="145" t="s">
        <v>393</v>
      </c>
      <c r="F52" s="160">
        <v>0</v>
      </c>
      <c r="G52" s="160">
        <v>4800</v>
      </c>
      <c r="H52" s="160">
        <v>0</v>
      </c>
      <c r="I52" s="160">
        <v>0</v>
      </c>
      <c r="J52" s="260">
        <v>0</v>
      </c>
      <c r="K52" s="160">
        <v>0</v>
      </c>
      <c r="L52" s="160">
        <v>0</v>
      </c>
      <c r="M52" s="95"/>
    </row>
    <row r="53" spans="2:13" ht="15.75" x14ac:dyDescent="0.25">
      <c r="B53" s="219">
        <v>41</v>
      </c>
      <c r="C53" s="226">
        <v>716</v>
      </c>
      <c r="D53" s="218"/>
      <c r="E53" s="226" t="s">
        <v>267</v>
      </c>
      <c r="F53" s="213">
        <v>0</v>
      </c>
      <c r="G53" s="213">
        <v>0</v>
      </c>
      <c r="H53" s="213">
        <v>0</v>
      </c>
      <c r="I53" s="213">
        <v>0</v>
      </c>
      <c r="J53" s="261">
        <v>0</v>
      </c>
      <c r="K53" s="213">
        <v>0</v>
      </c>
      <c r="L53" s="213">
        <v>0</v>
      </c>
      <c r="M53" s="95"/>
    </row>
    <row r="54" spans="2:13" ht="16.5" thickBot="1" x14ac:dyDescent="0.3">
      <c r="B54" s="102">
        <v>41</v>
      </c>
      <c r="C54" s="28">
        <v>717</v>
      </c>
      <c r="D54" s="103" t="s">
        <v>31</v>
      </c>
      <c r="E54" s="28" t="s">
        <v>271</v>
      </c>
      <c r="F54" s="31">
        <v>0</v>
      </c>
      <c r="G54" s="31">
        <v>0</v>
      </c>
      <c r="H54" s="31">
        <v>0</v>
      </c>
      <c r="I54" s="31">
        <v>0</v>
      </c>
      <c r="J54" s="107">
        <v>0</v>
      </c>
      <c r="K54" s="31">
        <v>0</v>
      </c>
      <c r="L54" s="31">
        <v>0</v>
      </c>
      <c r="M54" s="95"/>
    </row>
    <row r="55" spans="2:13" ht="16.5" thickBot="1" x14ac:dyDescent="0.3">
      <c r="B55" s="459" t="s">
        <v>272</v>
      </c>
      <c r="C55" s="460"/>
      <c r="D55" s="460"/>
      <c r="E55" s="460"/>
      <c r="F55" s="171">
        <f>SUM(F52:F54)</f>
        <v>0</v>
      </c>
      <c r="G55" s="171">
        <f t="shared" ref="G55:L55" si="5">SUM(G52:G54)</f>
        <v>4800</v>
      </c>
      <c r="H55" s="171">
        <f t="shared" si="5"/>
        <v>0</v>
      </c>
      <c r="I55" s="171">
        <f t="shared" si="5"/>
        <v>0</v>
      </c>
      <c r="J55" s="320">
        <f t="shared" si="5"/>
        <v>0</v>
      </c>
      <c r="K55" s="171">
        <f t="shared" si="5"/>
        <v>0</v>
      </c>
      <c r="L55" s="171">
        <f t="shared" si="5"/>
        <v>0</v>
      </c>
      <c r="M55" s="95"/>
    </row>
    <row r="56" spans="2:13" ht="16.5" thickBot="1" x14ac:dyDescent="0.3">
      <c r="B56" s="94"/>
      <c r="C56" s="95"/>
      <c r="D56" s="96"/>
      <c r="E56" s="95"/>
      <c r="F56" s="95"/>
      <c r="G56" s="95"/>
      <c r="H56" s="95"/>
      <c r="I56" s="95"/>
      <c r="J56" s="95"/>
      <c r="K56" s="95"/>
      <c r="L56" s="95"/>
      <c r="M56" s="95"/>
    </row>
    <row r="57" spans="2:13" ht="20.25" thickBot="1" x14ac:dyDescent="0.4">
      <c r="B57" s="475" t="s">
        <v>197</v>
      </c>
      <c r="C57" s="476"/>
      <c r="D57" s="476"/>
      <c r="E57" s="476"/>
      <c r="F57" s="476"/>
      <c r="G57" s="476"/>
      <c r="H57" s="476"/>
      <c r="I57" s="476"/>
      <c r="J57" s="477"/>
      <c r="K57" s="476"/>
      <c r="L57" s="478"/>
      <c r="M57" s="95"/>
    </row>
    <row r="58" spans="2:13" ht="48" thickBot="1" x14ac:dyDescent="0.3">
      <c r="B58" s="26" t="s">
        <v>23</v>
      </c>
      <c r="C58" s="26" t="s">
        <v>24</v>
      </c>
      <c r="D58" s="112" t="s">
        <v>25</v>
      </c>
      <c r="E58" s="26" t="s">
        <v>22</v>
      </c>
      <c r="F58" s="22" t="s">
        <v>68</v>
      </c>
      <c r="G58" s="22" t="s">
        <v>303</v>
      </c>
      <c r="H58" s="22" t="s">
        <v>368</v>
      </c>
      <c r="I58" s="22" t="s">
        <v>364</v>
      </c>
      <c r="J58" s="113" t="s">
        <v>18</v>
      </c>
      <c r="K58" s="22" t="s">
        <v>0</v>
      </c>
      <c r="L58" s="22" t="s">
        <v>294</v>
      </c>
      <c r="M58" s="95"/>
    </row>
    <row r="59" spans="2:13" ht="16.5" thickBot="1" x14ac:dyDescent="0.3">
      <c r="B59" s="88" t="s">
        <v>70</v>
      </c>
      <c r="C59" s="88" t="s">
        <v>71</v>
      </c>
      <c r="D59" s="89" t="s">
        <v>72</v>
      </c>
      <c r="E59" s="88" t="s">
        <v>73</v>
      </c>
      <c r="F59" s="26">
        <v>1</v>
      </c>
      <c r="G59" s="26">
        <v>2</v>
      </c>
      <c r="H59" s="26">
        <v>3</v>
      </c>
      <c r="I59" s="26">
        <v>4</v>
      </c>
      <c r="J59" s="319">
        <v>5</v>
      </c>
      <c r="K59" s="26">
        <v>6</v>
      </c>
      <c r="L59" s="26">
        <v>7</v>
      </c>
      <c r="M59" s="95"/>
    </row>
    <row r="60" spans="2:13" ht="16.5" thickBot="1" x14ac:dyDescent="0.3">
      <c r="B60" s="105">
        <v>41</v>
      </c>
      <c r="C60" s="68">
        <v>717</v>
      </c>
      <c r="D60" s="104" t="s">
        <v>31</v>
      </c>
      <c r="E60" s="68" t="s">
        <v>273</v>
      </c>
      <c r="F60" s="32">
        <v>0</v>
      </c>
      <c r="G60" s="32">
        <v>0</v>
      </c>
      <c r="H60" s="32">
        <v>0</v>
      </c>
      <c r="I60" s="32">
        <v>0</v>
      </c>
      <c r="J60" s="109">
        <v>0</v>
      </c>
      <c r="K60" s="32">
        <v>0</v>
      </c>
      <c r="L60" s="32">
        <v>0</v>
      </c>
      <c r="M60" s="95"/>
    </row>
    <row r="61" spans="2:13" ht="16.5" thickBot="1" x14ac:dyDescent="0.3">
      <c r="B61" s="459" t="s">
        <v>274</v>
      </c>
      <c r="C61" s="460"/>
      <c r="D61" s="460"/>
      <c r="E61" s="466"/>
      <c r="F61" s="40">
        <f>SUM(F60)</f>
        <v>0</v>
      </c>
      <c r="G61" s="40">
        <f t="shared" ref="G61:L61" si="6">SUM(G60)</f>
        <v>0</v>
      </c>
      <c r="H61" s="40">
        <f t="shared" si="6"/>
        <v>0</v>
      </c>
      <c r="I61" s="40">
        <f t="shared" si="6"/>
        <v>0</v>
      </c>
      <c r="J61" s="108">
        <f t="shared" si="6"/>
        <v>0</v>
      </c>
      <c r="K61" s="40">
        <f t="shared" si="6"/>
        <v>0</v>
      </c>
      <c r="L61" s="40">
        <f t="shared" si="6"/>
        <v>0</v>
      </c>
      <c r="M61" s="95"/>
    </row>
    <row r="62" spans="2:13" ht="15.75" x14ac:dyDescent="0.25">
      <c r="B62" s="94"/>
      <c r="C62" s="95"/>
      <c r="D62" s="96"/>
      <c r="E62" s="95"/>
      <c r="F62" s="97"/>
      <c r="G62" s="95"/>
      <c r="H62" s="95"/>
      <c r="I62" s="95"/>
      <c r="J62" s="95"/>
      <c r="K62" s="95"/>
      <c r="L62" s="95"/>
      <c r="M62" s="95"/>
    </row>
    <row r="63" spans="2:13" ht="20.25" thickBot="1" x14ac:dyDescent="0.4">
      <c r="B63" s="465" t="s">
        <v>275</v>
      </c>
      <c r="C63" s="465"/>
      <c r="D63" s="465"/>
      <c r="E63" s="465"/>
      <c r="F63" s="465"/>
      <c r="G63" s="465"/>
      <c r="H63" s="465"/>
      <c r="I63" s="465"/>
      <c r="J63" s="465"/>
      <c r="K63" s="465"/>
      <c r="L63" s="465"/>
      <c r="M63" s="95"/>
    </row>
    <row r="64" spans="2:13" ht="48" thickBot="1" x14ac:dyDescent="0.3">
      <c r="B64" s="26" t="s">
        <v>23</v>
      </c>
      <c r="C64" s="26" t="s">
        <v>24</v>
      </c>
      <c r="D64" s="112" t="s">
        <v>25</v>
      </c>
      <c r="E64" s="26" t="s">
        <v>22</v>
      </c>
      <c r="F64" s="22" t="s">
        <v>68</v>
      </c>
      <c r="G64" s="22" t="s">
        <v>303</v>
      </c>
      <c r="H64" s="22" t="s">
        <v>368</v>
      </c>
      <c r="I64" s="22" t="s">
        <v>364</v>
      </c>
      <c r="J64" s="113" t="s">
        <v>18</v>
      </c>
      <c r="K64" s="22" t="s">
        <v>0</v>
      </c>
      <c r="L64" s="22" t="s">
        <v>294</v>
      </c>
      <c r="M64" s="95"/>
    </row>
    <row r="65" spans="2:13" ht="16.5" thickBot="1" x14ac:dyDescent="0.3">
      <c r="B65" s="26" t="s">
        <v>70</v>
      </c>
      <c r="C65" s="26" t="s">
        <v>71</v>
      </c>
      <c r="D65" s="112" t="s">
        <v>72</v>
      </c>
      <c r="E65" s="26" t="s">
        <v>73</v>
      </c>
      <c r="F65" s="26">
        <v>1</v>
      </c>
      <c r="G65" s="26">
        <v>2</v>
      </c>
      <c r="H65" s="26">
        <v>3</v>
      </c>
      <c r="I65" s="26">
        <v>4</v>
      </c>
      <c r="J65" s="319">
        <v>5</v>
      </c>
      <c r="K65" s="26">
        <v>6</v>
      </c>
      <c r="L65" s="26">
        <v>7</v>
      </c>
      <c r="M65" s="95"/>
    </row>
    <row r="66" spans="2:13" ht="15.75" x14ac:dyDescent="0.25">
      <c r="B66" s="356">
        <v>46</v>
      </c>
      <c r="C66" s="357">
        <v>717</v>
      </c>
      <c r="D66" s="358" t="s">
        <v>29</v>
      </c>
      <c r="E66" s="357" t="s">
        <v>390</v>
      </c>
      <c r="F66" s="359">
        <v>0</v>
      </c>
      <c r="G66" s="360">
        <v>0</v>
      </c>
      <c r="H66" s="360">
        <v>80000</v>
      </c>
      <c r="I66" s="360">
        <v>0</v>
      </c>
      <c r="J66" s="361">
        <v>190570.7</v>
      </c>
      <c r="K66" s="360">
        <v>0</v>
      </c>
      <c r="L66" s="360">
        <v>0</v>
      </c>
      <c r="M66" s="95"/>
    </row>
    <row r="67" spans="2:13" ht="15.75" x14ac:dyDescent="0.25">
      <c r="B67" s="219" t="s">
        <v>363</v>
      </c>
      <c r="C67" s="226">
        <v>312</v>
      </c>
      <c r="D67" s="218" t="s">
        <v>30</v>
      </c>
      <c r="E67" s="354" t="s">
        <v>395</v>
      </c>
      <c r="F67" s="301">
        <v>0</v>
      </c>
      <c r="G67" s="301">
        <v>0</v>
      </c>
      <c r="H67" s="301">
        <v>0</v>
      </c>
      <c r="I67" s="301">
        <v>0</v>
      </c>
      <c r="J67" s="363">
        <v>198836.15</v>
      </c>
      <c r="K67" s="297">
        <v>0</v>
      </c>
      <c r="L67" s="297">
        <v>0</v>
      </c>
      <c r="M67" s="95"/>
    </row>
    <row r="68" spans="2:13" ht="15.75" x14ac:dyDescent="0.25">
      <c r="B68" s="219" t="s">
        <v>386</v>
      </c>
      <c r="C68" s="226">
        <v>312</v>
      </c>
      <c r="D68" s="218" t="s">
        <v>30</v>
      </c>
      <c r="E68" s="354" t="s">
        <v>403</v>
      </c>
      <c r="F68" s="301">
        <v>0</v>
      </c>
      <c r="G68" s="301">
        <v>0</v>
      </c>
      <c r="H68" s="301">
        <v>0</v>
      </c>
      <c r="I68" s="301">
        <v>0</v>
      </c>
      <c r="J68" s="363">
        <v>23392.49</v>
      </c>
      <c r="K68" s="297">
        <v>0</v>
      </c>
      <c r="L68" s="297">
        <v>0</v>
      </c>
      <c r="M68" s="95"/>
    </row>
    <row r="69" spans="2:13" ht="16.5" thickBot="1" x14ac:dyDescent="0.3">
      <c r="B69" s="459" t="s">
        <v>276</v>
      </c>
      <c r="C69" s="460"/>
      <c r="D69" s="460"/>
      <c r="E69" s="460"/>
      <c r="F69" s="171">
        <f>SUM(F66)</f>
        <v>0</v>
      </c>
      <c r="G69" s="171">
        <f>SUM(G66)</f>
        <v>0</v>
      </c>
      <c r="H69" s="171">
        <f>SUM(H66)</f>
        <v>80000</v>
      </c>
      <c r="I69" s="171">
        <f>SUM(I66)</f>
        <v>0</v>
      </c>
      <c r="J69" s="114">
        <f>SUM(J66:J68)</f>
        <v>412799.33999999997</v>
      </c>
      <c r="K69" s="171">
        <f>SUM(K66)</f>
        <v>0</v>
      </c>
      <c r="L69" s="171">
        <f>SUM(L66)</f>
        <v>0</v>
      </c>
      <c r="M69" s="95"/>
    </row>
    <row r="70" spans="2:13" ht="15.75" x14ac:dyDescent="0.25">
      <c r="B70" s="94"/>
      <c r="C70" s="95"/>
      <c r="D70" s="96"/>
      <c r="E70" s="95"/>
      <c r="F70" s="95"/>
      <c r="G70" s="95"/>
      <c r="H70" s="95"/>
      <c r="I70" s="95"/>
      <c r="J70" s="95"/>
      <c r="K70" s="95"/>
      <c r="L70" s="95"/>
      <c r="M70" s="95"/>
    </row>
    <row r="71" spans="2:13" ht="20.25" thickBot="1" x14ac:dyDescent="0.4">
      <c r="B71" s="465" t="s">
        <v>237</v>
      </c>
      <c r="C71" s="465"/>
      <c r="D71" s="465"/>
      <c r="E71" s="465"/>
      <c r="F71" s="465"/>
      <c r="G71" s="465"/>
      <c r="H71" s="465"/>
      <c r="I71" s="465"/>
      <c r="J71" s="465"/>
      <c r="K71" s="465"/>
      <c r="L71" s="465"/>
      <c r="M71" s="95"/>
    </row>
    <row r="72" spans="2:13" ht="48" thickBot="1" x14ac:dyDescent="0.3">
      <c r="B72" s="26" t="s">
        <v>23</v>
      </c>
      <c r="C72" s="26" t="s">
        <v>24</v>
      </c>
      <c r="D72" s="112" t="s">
        <v>25</v>
      </c>
      <c r="E72" s="26" t="s">
        <v>22</v>
      </c>
      <c r="F72" s="22" t="s">
        <v>68</v>
      </c>
      <c r="G72" s="22" t="s">
        <v>303</v>
      </c>
      <c r="H72" s="22" t="s">
        <v>368</v>
      </c>
      <c r="I72" s="22" t="s">
        <v>364</v>
      </c>
      <c r="J72" s="113" t="s">
        <v>18</v>
      </c>
      <c r="K72" s="22" t="s">
        <v>0</v>
      </c>
      <c r="L72" s="22" t="s">
        <v>294</v>
      </c>
      <c r="M72" s="95"/>
    </row>
    <row r="73" spans="2:13" ht="16.5" thickBot="1" x14ac:dyDescent="0.3">
      <c r="B73" s="88" t="s">
        <v>70</v>
      </c>
      <c r="C73" s="88" t="s">
        <v>71</v>
      </c>
      <c r="D73" s="89" t="s">
        <v>72</v>
      </c>
      <c r="E73" s="88" t="s">
        <v>73</v>
      </c>
      <c r="F73" s="26">
        <v>1</v>
      </c>
      <c r="G73" s="26">
        <v>2</v>
      </c>
      <c r="H73" s="26">
        <v>3</v>
      </c>
      <c r="I73" s="26">
        <v>4</v>
      </c>
      <c r="J73" s="319">
        <v>5</v>
      </c>
      <c r="K73" s="26">
        <v>6</v>
      </c>
      <c r="L73" s="26">
        <v>7</v>
      </c>
      <c r="M73" s="95"/>
    </row>
    <row r="74" spans="2:13" ht="15.75" x14ac:dyDescent="0.25">
      <c r="B74" s="148">
        <v>41</v>
      </c>
      <c r="C74" s="145">
        <v>716</v>
      </c>
      <c r="D74" s="204"/>
      <c r="E74" s="145" t="s">
        <v>278</v>
      </c>
      <c r="F74" s="160">
        <v>1920</v>
      </c>
      <c r="G74" s="255">
        <v>0</v>
      </c>
      <c r="H74" s="255">
        <v>0</v>
      </c>
      <c r="I74" s="255">
        <v>0</v>
      </c>
      <c r="J74" s="259">
        <v>0</v>
      </c>
      <c r="K74" s="255">
        <v>0</v>
      </c>
      <c r="L74" s="255">
        <v>0</v>
      </c>
      <c r="M74" s="95"/>
    </row>
    <row r="75" spans="2:13" ht="15.75" x14ac:dyDescent="0.25">
      <c r="B75" s="149">
        <v>41</v>
      </c>
      <c r="C75" s="146">
        <v>717</v>
      </c>
      <c r="D75" s="256" t="s">
        <v>30</v>
      </c>
      <c r="E75" s="146" t="s">
        <v>279</v>
      </c>
      <c r="F75" s="296">
        <v>0</v>
      </c>
      <c r="G75" s="296">
        <v>0</v>
      </c>
      <c r="H75" s="296">
        <v>0</v>
      </c>
      <c r="I75" s="296">
        <v>0</v>
      </c>
      <c r="J75" s="352">
        <v>0</v>
      </c>
      <c r="K75" s="296">
        <v>0</v>
      </c>
      <c r="L75" s="296">
        <v>0</v>
      </c>
      <c r="M75" s="95"/>
    </row>
    <row r="76" spans="2:13" ht="16.5" thickBot="1" x14ac:dyDescent="0.3">
      <c r="B76" s="102">
        <v>41</v>
      </c>
      <c r="C76" s="28">
        <v>717</v>
      </c>
      <c r="D76" s="103" t="s">
        <v>31</v>
      </c>
      <c r="E76" s="28" t="s">
        <v>269</v>
      </c>
      <c r="F76" s="117">
        <v>0</v>
      </c>
      <c r="G76" s="117">
        <v>0</v>
      </c>
      <c r="H76" s="117">
        <v>0</v>
      </c>
      <c r="I76" s="117">
        <v>0</v>
      </c>
      <c r="J76" s="111">
        <v>0</v>
      </c>
      <c r="K76" s="117">
        <v>0</v>
      </c>
      <c r="L76" s="117">
        <v>0</v>
      </c>
      <c r="M76" s="95"/>
    </row>
    <row r="77" spans="2:13" ht="16.5" thickBot="1" x14ac:dyDescent="0.3">
      <c r="B77" s="459" t="s">
        <v>277</v>
      </c>
      <c r="C77" s="460"/>
      <c r="D77" s="460"/>
      <c r="E77" s="466"/>
      <c r="F77" s="116">
        <f>SUM(F74:F76)</f>
        <v>1920</v>
      </c>
      <c r="G77" s="116">
        <f t="shared" ref="G77:L77" si="7">SUM(G74:G76)</f>
        <v>0</v>
      </c>
      <c r="H77" s="116">
        <f t="shared" si="7"/>
        <v>0</v>
      </c>
      <c r="I77" s="116">
        <f t="shared" si="7"/>
        <v>0</v>
      </c>
      <c r="J77" s="353">
        <f t="shared" si="7"/>
        <v>0</v>
      </c>
      <c r="K77" s="116">
        <f t="shared" si="7"/>
        <v>0</v>
      </c>
      <c r="L77" s="116">
        <f t="shared" si="7"/>
        <v>0</v>
      </c>
      <c r="M77" s="95"/>
    </row>
    <row r="78" spans="2:13" ht="16.5" thickBot="1" x14ac:dyDescent="0.3">
      <c r="B78" s="94"/>
      <c r="C78" s="95"/>
      <c r="D78" s="96"/>
      <c r="E78" s="95"/>
      <c r="F78" s="95"/>
      <c r="G78" s="95"/>
      <c r="H78" s="95"/>
      <c r="I78" s="95"/>
      <c r="J78" s="95"/>
      <c r="K78" s="95"/>
      <c r="L78" s="95"/>
      <c r="M78" s="95"/>
    </row>
    <row r="79" spans="2:13" ht="19.5" thickBot="1" x14ac:dyDescent="0.35">
      <c r="B79" s="467" t="s">
        <v>285</v>
      </c>
      <c r="C79" s="468"/>
      <c r="D79" s="468"/>
      <c r="E79" s="468"/>
      <c r="F79" s="85">
        <f t="shared" ref="F79:L79" si="8">F77+F69+F61+F55+F47+F37+F30+F22</f>
        <v>88910.099999999991</v>
      </c>
      <c r="G79" s="85">
        <f t="shared" si="8"/>
        <v>20469.66</v>
      </c>
      <c r="H79" s="85">
        <f t="shared" si="8"/>
        <v>160895</v>
      </c>
      <c r="I79" s="85">
        <f t="shared" si="8"/>
        <v>20000</v>
      </c>
      <c r="J79" s="120">
        <f t="shared" si="8"/>
        <v>412799.33999999997</v>
      </c>
      <c r="K79" s="85">
        <f t="shared" si="8"/>
        <v>0</v>
      </c>
      <c r="L79" s="85">
        <f t="shared" si="8"/>
        <v>0</v>
      </c>
      <c r="M79" s="95"/>
    </row>
    <row r="80" spans="2:13" ht="15.75" thickBot="1" x14ac:dyDescent="0.3"/>
    <row r="81" spans="2:12" ht="19.5" thickBot="1" x14ac:dyDescent="0.35">
      <c r="B81" s="469" t="s">
        <v>8</v>
      </c>
      <c r="C81" s="470"/>
      <c r="D81" s="470"/>
      <c r="E81" s="471"/>
      <c r="F81" s="85">
        <f t="shared" ref="F81:L81" si="9">F14-F79</f>
        <v>-88910.099999999991</v>
      </c>
      <c r="G81" s="85">
        <f t="shared" si="9"/>
        <v>-19833.66</v>
      </c>
      <c r="H81" s="85">
        <f t="shared" si="9"/>
        <v>-159395</v>
      </c>
      <c r="I81" s="85">
        <f t="shared" si="9"/>
        <v>-5532.2199999999993</v>
      </c>
      <c r="J81" s="120">
        <f t="shared" si="9"/>
        <v>-190570.69999999998</v>
      </c>
      <c r="K81" s="85">
        <f t="shared" si="9"/>
        <v>37537</v>
      </c>
      <c r="L81" s="85">
        <f t="shared" si="9"/>
        <v>0</v>
      </c>
    </row>
    <row r="82" spans="2:12" x14ac:dyDescent="0.25">
      <c r="J82" s="119"/>
    </row>
  </sheetData>
  <mergeCells count="22">
    <mergeCell ref="B14:E14"/>
    <mergeCell ref="B16:L16"/>
    <mergeCell ref="B18:L18"/>
    <mergeCell ref="B4:L4"/>
    <mergeCell ref="B2:L2"/>
    <mergeCell ref="B63:L63"/>
    <mergeCell ref="B22:E22"/>
    <mergeCell ref="B24:L24"/>
    <mergeCell ref="B30:E30"/>
    <mergeCell ref="B32:L32"/>
    <mergeCell ref="B37:E37"/>
    <mergeCell ref="B39:L39"/>
    <mergeCell ref="B47:E47"/>
    <mergeCell ref="B49:L49"/>
    <mergeCell ref="B55:E55"/>
    <mergeCell ref="B57:L57"/>
    <mergeCell ref="B61:E61"/>
    <mergeCell ref="B69:E69"/>
    <mergeCell ref="B71:L71"/>
    <mergeCell ref="B77:E77"/>
    <mergeCell ref="B79:E79"/>
    <mergeCell ref="B81:E81"/>
  </mergeCells>
  <pageMargins left="0.7" right="0.7" top="0.75" bottom="0.75" header="0.3" footer="0.3"/>
  <pageSetup paperSize="9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D6565"/>
    <pageSetUpPr fitToPage="1"/>
  </sheetPr>
  <dimension ref="B1:N18"/>
  <sheetViews>
    <sheetView zoomScale="110" zoomScaleNormal="110" workbookViewId="0">
      <selection activeCell="M20" sqref="M20"/>
    </sheetView>
  </sheetViews>
  <sheetFormatPr defaultRowHeight="15" x14ac:dyDescent="0.25"/>
  <cols>
    <col min="4" max="4" width="13.28515625" customWidth="1"/>
    <col min="5" max="5" width="57.5703125" customWidth="1"/>
    <col min="6" max="6" width="14.28515625" customWidth="1"/>
    <col min="7" max="8" width="12.7109375" customWidth="1"/>
    <col min="9" max="9" width="12.5703125" customWidth="1"/>
    <col min="10" max="10" width="12.28515625" customWidth="1"/>
    <col min="11" max="11" width="12.7109375" customWidth="1"/>
    <col min="12" max="12" width="13" customWidth="1"/>
  </cols>
  <sheetData>
    <row r="1" spans="2:14" ht="15.75" thickBot="1" x14ac:dyDescent="0.3"/>
    <row r="2" spans="2:14" ht="21" thickBot="1" x14ac:dyDescent="0.35">
      <c r="B2" s="494" t="s">
        <v>280</v>
      </c>
      <c r="C2" s="495"/>
      <c r="D2" s="495"/>
      <c r="E2" s="495"/>
      <c r="F2" s="495"/>
      <c r="G2" s="495"/>
      <c r="H2" s="495"/>
      <c r="I2" s="495"/>
      <c r="J2" s="495"/>
      <c r="K2" s="495"/>
      <c r="L2" s="496"/>
      <c r="M2" s="93"/>
    </row>
    <row r="3" spans="2:14" ht="15.75" thickBot="1" x14ac:dyDescent="0.3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90"/>
    </row>
    <row r="4" spans="2:14" ht="19.5" thickBot="1" x14ac:dyDescent="0.35">
      <c r="B4" s="492" t="s">
        <v>9</v>
      </c>
      <c r="C4" s="493"/>
      <c r="D4" s="493"/>
      <c r="E4" s="493"/>
      <c r="F4" s="493"/>
      <c r="G4" s="493"/>
      <c r="H4" s="493"/>
      <c r="I4" s="493"/>
      <c r="J4" s="493"/>
      <c r="K4" s="493"/>
      <c r="L4" s="497"/>
      <c r="M4" s="93"/>
      <c r="N4" s="93"/>
    </row>
    <row r="5" spans="2:14" ht="48" thickBot="1" x14ac:dyDescent="0.3">
      <c r="B5" s="47" t="s">
        <v>23</v>
      </c>
      <c r="C5" s="47" t="s">
        <v>24</v>
      </c>
      <c r="D5" s="47" t="s">
        <v>25</v>
      </c>
      <c r="E5" s="47" t="s">
        <v>22</v>
      </c>
      <c r="F5" s="131" t="s">
        <v>68</v>
      </c>
      <c r="G5" s="131" t="s">
        <v>303</v>
      </c>
      <c r="H5" s="131" t="s">
        <v>368</v>
      </c>
      <c r="I5" s="22" t="s">
        <v>364</v>
      </c>
      <c r="J5" s="133" t="s">
        <v>18</v>
      </c>
      <c r="K5" s="131" t="s">
        <v>315</v>
      </c>
      <c r="L5" s="131" t="s">
        <v>294</v>
      </c>
      <c r="M5" s="1"/>
    </row>
    <row r="6" spans="2:14" ht="16.5" thickBot="1" x14ac:dyDescent="0.3">
      <c r="B6" s="47" t="s">
        <v>70</v>
      </c>
      <c r="C6" s="47" t="s">
        <v>71</v>
      </c>
      <c r="D6" s="47" t="s">
        <v>72</v>
      </c>
      <c r="E6" s="47" t="s">
        <v>73</v>
      </c>
      <c r="F6" s="131">
        <v>1</v>
      </c>
      <c r="G6" s="131">
        <v>2</v>
      </c>
      <c r="H6" s="131">
        <v>3</v>
      </c>
      <c r="I6" s="131">
        <v>4</v>
      </c>
      <c r="J6" s="133">
        <v>5</v>
      </c>
      <c r="K6" s="131">
        <v>6</v>
      </c>
      <c r="L6" s="131">
        <v>7</v>
      </c>
      <c r="M6" s="1"/>
    </row>
    <row r="7" spans="2:14" ht="15.75" x14ac:dyDescent="0.25">
      <c r="B7" s="367">
        <v>46</v>
      </c>
      <c r="C7" s="368">
        <v>454</v>
      </c>
      <c r="D7" s="369" t="s">
        <v>30</v>
      </c>
      <c r="E7" s="368" t="s">
        <v>394</v>
      </c>
      <c r="F7" s="370">
        <v>0</v>
      </c>
      <c r="G7" s="370">
        <v>0</v>
      </c>
      <c r="H7" s="370">
        <v>85191</v>
      </c>
      <c r="I7" s="372">
        <v>0</v>
      </c>
      <c r="J7" s="254">
        <v>239570.7</v>
      </c>
      <c r="K7" s="160">
        <v>56403</v>
      </c>
      <c r="L7" s="160">
        <v>56403</v>
      </c>
      <c r="M7" s="1"/>
    </row>
    <row r="8" spans="2:14" ht="16.5" thickBot="1" x14ac:dyDescent="0.3">
      <c r="B8" s="28">
        <v>111</v>
      </c>
      <c r="C8" s="28">
        <v>514</v>
      </c>
      <c r="D8" s="103" t="s">
        <v>31</v>
      </c>
      <c r="E8" s="28" t="s">
        <v>281</v>
      </c>
      <c r="F8" s="30">
        <v>29614</v>
      </c>
      <c r="G8" s="30">
        <v>0</v>
      </c>
      <c r="H8" s="30">
        <v>0</v>
      </c>
      <c r="I8" s="314">
        <v>0</v>
      </c>
      <c r="J8" s="136">
        <v>0</v>
      </c>
      <c r="K8" s="30">
        <v>0</v>
      </c>
      <c r="L8" s="30">
        <v>0</v>
      </c>
    </row>
    <row r="9" spans="2:14" ht="16.5" thickBot="1" x14ac:dyDescent="0.3">
      <c r="B9" s="459" t="s">
        <v>288</v>
      </c>
      <c r="C9" s="460"/>
      <c r="D9" s="460"/>
      <c r="E9" s="460"/>
      <c r="F9" s="278">
        <f t="shared" ref="F9:I9" si="0">SUM(F7:F8)</f>
        <v>29614</v>
      </c>
      <c r="G9" s="278">
        <f t="shared" si="0"/>
        <v>0</v>
      </c>
      <c r="H9" s="278">
        <f t="shared" si="0"/>
        <v>85191</v>
      </c>
      <c r="I9" s="278">
        <f t="shared" si="0"/>
        <v>0</v>
      </c>
      <c r="J9" s="135">
        <f>SUM(J7:J8)</f>
        <v>239570.7</v>
      </c>
      <c r="K9" s="278">
        <f t="shared" ref="K9" si="1">SUM(K7:K8)</f>
        <v>56403</v>
      </c>
      <c r="L9" s="278">
        <f t="shared" ref="L9" si="2">SUM(L7:L8)</f>
        <v>56403</v>
      </c>
    </row>
    <row r="10" spans="2:14" ht="15.75" x14ac:dyDescent="0.25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2:14" ht="19.5" thickBot="1" x14ac:dyDescent="0.35">
      <c r="B11" s="498" t="s">
        <v>287</v>
      </c>
      <c r="C11" s="498"/>
      <c r="D11" s="498"/>
      <c r="E11" s="498"/>
      <c r="F11" s="498"/>
      <c r="G11" s="498"/>
      <c r="H11" s="498"/>
      <c r="I11" s="498"/>
      <c r="J11" s="498"/>
      <c r="K11" s="498"/>
      <c r="L11" s="498"/>
    </row>
    <row r="12" spans="2:14" ht="48" thickBot="1" x14ac:dyDescent="0.3">
      <c r="B12" s="47" t="s">
        <v>23</v>
      </c>
      <c r="C12" s="47" t="s">
        <v>24</v>
      </c>
      <c r="D12" s="47" t="s">
        <v>25</v>
      </c>
      <c r="E12" s="47" t="s">
        <v>22</v>
      </c>
      <c r="F12" s="131" t="s">
        <v>68</v>
      </c>
      <c r="G12" s="131" t="s">
        <v>303</v>
      </c>
      <c r="H12" s="131" t="s">
        <v>368</v>
      </c>
      <c r="I12" s="22" t="s">
        <v>364</v>
      </c>
      <c r="J12" s="133" t="s">
        <v>18</v>
      </c>
      <c r="K12" s="131" t="s">
        <v>0</v>
      </c>
      <c r="L12" s="131" t="s">
        <v>294</v>
      </c>
    </row>
    <row r="13" spans="2:14" ht="16.5" thickBot="1" x14ac:dyDescent="0.3">
      <c r="B13" s="55" t="s">
        <v>70</v>
      </c>
      <c r="C13" s="55" t="s">
        <v>71</v>
      </c>
      <c r="D13" s="55" t="s">
        <v>72</v>
      </c>
      <c r="E13" s="55" t="s">
        <v>73</v>
      </c>
      <c r="F13" s="132">
        <v>1</v>
      </c>
      <c r="G13" s="132">
        <v>2</v>
      </c>
      <c r="H13" s="132">
        <v>3</v>
      </c>
      <c r="I13" s="132">
        <v>4</v>
      </c>
      <c r="J13" s="134">
        <v>5</v>
      </c>
      <c r="K13" s="132">
        <v>6</v>
      </c>
      <c r="L13" s="132">
        <v>7</v>
      </c>
    </row>
    <row r="14" spans="2:14" ht="15.75" x14ac:dyDescent="0.25">
      <c r="B14" s="145">
        <v>41</v>
      </c>
      <c r="C14" s="145">
        <v>821</v>
      </c>
      <c r="D14" s="258" t="s">
        <v>107</v>
      </c>
      <c r="E14" s="145" t="s">
        <v>282</v>
      </c>
      <c r="F14" s="160">
        <v>8436</v>
      </c>
      <c r="G14" s="160">
        <v>8436</v>
      </c>
      <c r="H14" s="160">
        <v>9000</v>
      </c>
      <c r="I14" s="262">
        <v>6327</v>
      </c>
      <c r="J14" s="254">
        <v>9000</v>
      </c>
      <c r="K14" s="212">
        <v>9000</v>
      </c>
      <c r="L14" s="160">
        <v>9000</v>
      </c>
    </row>
    <row r="15" spans="2:14" ht="16.5" thickBot="1" x14ac:dyDescent="0.3">
      <c r="B15" s="365">
        <v>41</v>
      </c>
      <c r="C15" s="362">
        <v>821</v>
      </c>
      <c r="D15" s="371" t="s">
        <v>108</v>
      </c>
      <c r="E15" s="362" t="s">
        <v>283</v>
      </c>
      <c r="F15" s="297">
        <v>40042.46</v>
      </c>
      <c r="G15" s="297">
        <v>40450.43</v>
      </c>
      <c r="H15" s="297">
        <v>40000</v>
      </c>
      <c r="I15" s="373">
        <v>30584.65</v>
      </c>
      <c r="J15" s="375">
        <v>40000</v>
      </c>
      <c r="K15" s="374">
        <v>47403</v>
      </c>
      <c r="L15" s="366">
        <v>47403</v>
      </c>
    </row>
    <row r="16" spans="2:14" ht="16.5" thickBot="1" x14ac:dyDescent="0.3">
      <c r="B16" s="472" t="s">
        <v>284</v>
      </c>
      <c r="C16" s="473"/>
      <c r="D16" s="473"/>
      <c r="E16" s="473"/>
      <c r="F16" s="32">
        <f t="shared" ref="F16:L16" si="3">SUM(F14:F15)</f>
        <v>48478.46</v>
      </c>
      <c r="G16" s="32">
        <f t="shared" si="3"/>
        <v>48886.43</v>
      </c>
      <c r="H16" s="32">
        <f t="shared" si="3"/>
        <v>49000</v>
      </c>
      <c r="I16" s="32">
        <f t="shared" si="3"/>
        <v>36911.65</v>
      </c>
      <c r="J16" s="364">
        <f t="shared" si="3"/>
        <v>49000</v>
      </c>
      <c r="K16" s="32">
        <f t="shared" si="3"/>
        <v>56403</v>
      </c>
      <c r="L16" s="32">
        <f t="shared" si="3"/>
        <v>56403</v>
      </c>
    </row>
    <row r="17" spans="2:12" ht="16.5" thickBot="1" x14ac:dyDescent="0.3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18" spans="2:12" ht="19.5" thickBot="1" x14ac:dyDescent="0.35">
      <c r="B18" s="492" t="s">
        <v>286</v>
      </c>
      <c r="C18" s="493"/>
      <c r="D18" s="493"/>
      <c r="E18" s="493"/>
      <c r="F18" s="32">
        <f t="shared" ref="F18:L18" si="4">F9-F16</f>
        <v>-18864.46</v>
      </c>
      <c r="G18" s="32">
        <f t="shared" si="4"/>
        <v>-48886.43</v>
      </c>
      <c r="H18" s="32">
        <f t="shared" si="4"/>
        <v>36191</v>
      </c>
      <c r="I18" s="32">
        <f t="shared" si="4"/>
        <v>-36911.65</v>
      </c>
      <c r="J18" s="135">
        <f>J9-J16</f>
        <v>190570.7</v>
      </c>
      <c r="K18" s="32">
        <f t="shared" si="4"/>
        <v>0</v>
      </c>
      <c r="L18" s="32">
        <f t="shared" si="4"/>
        <v>0</v>
      </c>
    </row>
  </sheetData>
  <mergeCells count="6">
    <mergeCell ref="B16:E16"/>
    <mergeCell ref="B18:E18"/>
    <mergeCell ref="B2:L2"/>
    <mergeCell ref="B9:E9"/>
    <mergeCell ref="B4:L4"/>
    <mergeCell ref="B11:L1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Sumár rozpočtu rok 2022</vt:lpstr>
      <vt:lpstr>Bežné príjmy </vt:lpstr>
      <vt:lpstr>Bežné výdavky</vt:lpstr>
      <vt:lpstr>Kapitálový rozpočet</vt:lpstr>
      <vt:lpstr>Finančné operácie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MIHÁLIK Andrej</dc:creator>
  <cp:lastModifiedBy>VADKERTIOVÁ Alžbeta</cp:lastModifiedBy>
  <cp:lastPrinted>2022-12-16T07:28:21Z</cp:lastPrinted>
  <dcterms:created xsi:type="dcterms:W3CDTF">2022-02-25T11:41:28Z</dcterms:created>
  <dcterms:modified xsi:type="dcterms:W3CDTF">2022-12-16T08:19:10Z</dcterms:modified>
</cp:coreProperties>
</file>